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tabRatio="768"/>
  </bookViews>
  <sheets>
    <sheet name="kemurnian radiofarmaka" sheetId="7" r:id="rId1"/>
    <sheet name="ID gr organ" sheetId="1" r:id="rId2"/>
    <sheet name="residence time" sheetId="3" r:id="rId3"/>
    <sheet name="estimasi dosis hewan" sheetId="5" r:id="rId4"/>
    <sheet name="estimasi dosis manusia" sheetId="6" r:id="rId5"/>
  </sheets>
  <calcPr calcId="144525"/>
</workbook>
</file>

<file path=xl/calcChain.xml><?xml version="1.0" encoding="utf-8"?>
<calcChain xmlns="http://schemas.openxmlformats.org/spreadsheetml/2006/main">
  <c r="D15" i="7" l="1"/>
  <c r="D16" i="7" s="1"/>
  <c r="D17" i="7" s="1"/>
  <c r="C15" i="7"/>
  <c r="C16" i="7" s="1"/>
  <c r="H14" i="7"/>
  <c r="D14" i="7"/>
  <c r="C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I4" i="7"/>
  <c r="I14" i="7" s="1"/>
  <c r="H4" i="7"/>
  <c r="H15" i="7" l="1"/>
  <c r="C18" i="7"/>
  <c r="C19" i="7" s="1"/>
  <c r="C17" i="7"/>
  <c r="U27" i="6" l="1"/>
  <c r="M4" i="1" l="1"/>
  <c r="P4" i="1" l="1"/>
  <c r="J22" i="1"/>
  <c r="J23" i="1"/>
  <c r="J24" i="1"/>
  <c r="J25" i="1"/>
  <c r="J26" i="1"/>
  <c r="J27" i="1"/>
  <c r="J28" i="1"/>
  <c r="J29" i="1"/>
  <c r="J30" i="1"/>
  <c r="J31" i="1"/>
  <c r="J32" i="1"/>
  <c r="J21" i="1"/>
  <c r="I22" i="1"/>
  <c r="I23" i="1"/>
  <c r="I24" i="1"/>
  <c r="I25" i="1"/>
  <c r="I26" i="1"/>
  <c r="I27" i="1"/>
  <c r="I28" i="1"/>
  <c r="I29" i="1"/>
  <c r="I30" i="1"/>
  <c r="I31" i="1"/>
  <c r="I32" i="1"/>
  <c r="I21" i="1"/>
  <c r="H22" i="1"/>
  <c r="H23" i="1"/>
  <c r="H24" i="1"/>
  <c r="H25" i="1"/>
  <c r="H26" i="1"/>
  <c r="H27" i="1"/>
  <c r="H28" i="1"/>
  <c r="H29" i="1"/>
  <c r="H30" i="1"/>
  <c r="H31" i="1"/>
  <c r="H32" i="1"/>
  <c r="H21" i="1"/>
  <c r="G22" i="1"/>
  <c r="G23" i="1"/>
  <c r="G24" i="1"/>
  <c r="G25" i="1"/>
  <c r="G26" i="1"/>
  <c r="G27" i="1"/>
  <c r="G28" i="1"/>
  <c r="G29" i="1"/>
  <c r="G30" i="1"/>
  <c r="G31" i="1"/>
  <c r="G32" i="1"/>
  <c r="G21" i="1"/>
  <c r="CC15" i="1"/>
  <c r="CC14" i="1"/>
  <c r="CC13" i="1"/>
  <c r="CC12" i="1"/>
  <c r="CC11" i="1"/>
  <c r="CC10" i="1"/>
  <c r="CC9" i="1"/>
  <c r="CC8" i="1"/>
  <c r="CC7" i="1"/>
  <c r="CC6" i="1"/>
  <c r="CC5" i="1"/>
  <c r="CC4" i="1"/>
  <c r="BW15" i="1"/>
  <c r="BW14" i="1"/>
  <c r="BW13" i="1"/>
  <c r="BW12" i="1"/>
  <c r="BW11" i="1"/>
  <c r="BW10" i="1"/>
  <c r="BW9" i="1"/>
  <c r="BW8" i="1"/>
  <c r="BW7" i="1"/>
  <c r="BW6" i="1"/>
  <c r="BW5" i="1"/>
  <c r="BW4" i="1"/>
  <c r="BQ15" i="1"/>
  <c r="BQ14" i="1"/>
  <c r="BQ13" i="1"/>
  <c r="BQ12" i="1"/>
  <c r="BQ11" i="1"/>
  <c r="BQ10" i="1"/>
  <c r="BQ9" i="1"/>
  <c r="BQ8" i="1"/>
  <c r="BQ7" i="1"/>
  <c r="BQ6" i="1"/>
  <c r="BQ5" i="1"/>
  <c r="BQ4" i="1"/>
  <c r="BK15" i="1"/>
  <c r="BK14" i="1"/>
  <c r="BK13" i="1"/>
  <c r="BK12" i="1"/>
  <c r="BK11" i="1"/>
  <c r="BK10" i="1"/>
  <c r="BK9" i="1"/>
  <c r="BK8" i="1"/>
  <c r="BK7" i="1"/>
  <c r="BK6" i="1"/>
  <c r="BK5" i="1"/>
  <c r="BK4" i="1"/>
  <c r="BE4" i="1"/>
  <c r="BE15" i="1"/>
  <c r="BE14" i="1"/>
  <c r="BE13" i="1"/>
  <c r="BE12" i="1"/>
  <c r="BE11" i="1"/>
  <c r="BE10" i="1"/>
  <c r="BE9" i="1"/>
  <c r="BE8" i="1"/>
  <c r="BE7" i="1"/>
  <c r="BE6" i="1"/>
  <c r="BE5" i="1"/>
  <c r="AY15" i="1"/>
  <c r="AY14" i="1"/>
  <c r="AY13" i="1"/>
  <c r="AY12" i="1"/>
  <c r="AY11" i="1"/>
  <c r="AY10" i="1"/>
  <c r="AY9" i="1"/>
  <c r="AY8" i="1"/>
  <c r="AY7" i="1"/>
  <c r="AY6" i="1"/>
  <c r="AY5" i="1"/>
  <c r="AY4" i="1"/>
  <c r="AS4" i="1"/>
  <c r="AS15" i="1"/>
  <c r="AS14" i="1"/>
  <c r="AS13" i="1"/>
  <c r="AS12" i="1"/>
  <c r="AS11" i="1"/>
  <c r="AS10" i="1"/>
  <c r="AS9" i="1"/>
  <c r="AS8" i="1"/>
  <c r="AS7" i="1"/>
  <c r="AS6" i="1"/>
  <c r="AS5" i="1"/>
  <c r="AM4" i="1"/>
  <c r="AM15" i="1"/>
  <c r="AM14" i="1"/>
  <c r="AM13" i="1"/>
  <c r="AM12" i="1"/>
  <c r="AM11" i="1"/>
  <c r="AM10" i="1"/>
  <c r="AM9" i="1"/>
  <c r="AM8" i="1"/>
  <c r="AM7" i="1"/>
  <c r="AM6" i="1"/>
  <c r="AM5" i="1"/>
  <c r="AG15" i="1"/>
  <c r="AG14" i="1"/>
  <c r="AG13" i="1"/>
  <c r="AG12" i="1"/>
  <c r="AG11" i="1"/>
  <c r="AG10" i="1"/>
  <c r="AG9" i="1"/>
  <c r="AG8" i="1"/>
  <c r="AG7" i="1"/>
  <c r="AG6" i="1"/>
  <c r="AG5" i="1"/>
  <c r="AG4" i="1"/>
  <c r="AA13" i="1"/>
  <c r="AA5" i="1"/>
  <c r="AA6" i="1"/>
  <c r="AA7" i="1"/>
  <c r="AA8" i="1"/>
  <c r="AA9" i="1"/>
  <c r="AA10" i="1"/>
  <c r="AA11" i="1"/>
  <c r="AA12" i="1"/>
  <c r="AA14" i="1"/>
  <c r="AA15" i="1"/>
  <c r="AA4" i="1"/>
  <c r="U5" i="1"/>
  <c r="U6" i="1"/>
  <c r="U7" i="1"/>
  <c r="U8" i="1"/>
  <c r="U9" i="1"/>
  <c r="U10" i="1"/>
  <c r="U11" i="1"/>
  <c r="U12" i="1"/>
  <c r="U13" i="1"/>
  <c r="U14" i="1"/>
  <c r="U15" i="1"/>
  <c r="U4" i="1"/>
  <c r="O15" i="1"/>
  <c r="O5" i="1"/>
  <c r="O6" i="1"/>
  <c r="O7" i="1"/>
  <c r="O8" i="1"/>
  <c r="O9" i="1"/>
  <c r="O10" i="1"/>
  <c r="O11" i="1"/>
  <c r="O12" i="1"/>
  <c r="O13" i="1"/>
  <c r="O14" i="1"/>
  <c r="O4" i="1"/>
  <c r="K16" i="1" l="1"/>
  <c r="Q16" i="1"/>
  <c r="W16" i="1"/>
  <c r="AC16" i="1"/>
  <c r="AI16" i="1"/>
  <c r="AO16" i="1"/>
  <c r="AU16" i="1"/>
  <c r="BA16" i="1"/>
  <c r="BG16" i="1"/>
  <c r="BM16" i="1"/>
  <c r="BS16" i="1"/>
  <c r="BY16" i="1"/>
  <c r="K4" i="1"/>
  <c r="Q4" i="1"/>
  <c r="W4" i="1"/>
  <c r="AC4" i="1"/>
  <c r="AI4" i="1"/>
  <c r="AO4" i="1"/>
  <c r="AU4" i="1"/>
  <c r="BA4" i="1"/>
  <c r="BG4" i="1"/>
  <c r="BM4" i="1"/>
  <c r="BS4" i="1"/>
  <c r="BY4" i="1"/>
  <c r="K5" i="1"/>
  <c r="Q5" i="1"/>
  <c r="W5" i="1"/>
  <c r="AC5" i="1"/>
  <c r="AI5" i="1"/>
  <c r="AO5" i="1"/>
  <c r="AU5" i="1"/>
  <c r="BA5" i="1"/>
  <c r="BG5" i="1"/>
  <c r="BM5" i="1"/>
  <c r="BS5" i="1"/>
  <c r="BY5" i="1"/>
  <c r="K6" i="1"/>
  <c r="Q6" i="1"/>
  <c r="W6" i="1"/>
  <c r="AC6" i="1"/>
  <c r="AI6" i="1"/>
  <c r="AO6" i="1"/>
  <c r="AU6" i="1"/>
  <c r="BA6" i="1"/>
  <c r="BG6" i="1"/>
  <c r="BM6" i="1"/>
  <c r="BS6" i="1"/>
  <c r="BY6" i="1"/>
  <c r="K7" i="1"/>
  <c r="Q7" i="1"/>
  <c r="W7" i="1"/>
  <c r="AC7" i="1"/>
  <c r="AI7" i="1"/>
  <c r="AO7" i="1"/>
  <c r="AU7" i="1"/>
  <c r="BA7" i="1"/>
  <c r="BG7" i="1"/>
  <c r="BM7" i="1"/>
  <c r="BS7" i="1"/>
  <c r="BY7" i="1"/>
  <c r="K8" i="1"/>
  <c r="Q8" i="1"/>
  <c r="W8" i="1"/>
  <c r="AC8" i="1"/>
  <c r="AI8" i="1"/>
  <c r="AO8" i="1"/>
  <c r="AU8" i="1"/>
  <c r="BA8" i="1"/>
  <c r="BG8" i="1"/>
  <c r="BM8" i="1"/>
  <c r="BS8" i="1"/>
  <c r="BY8" i="1"/>
  <c r="K9" i="1"/>
  <c r="Q9" i="1"/>
  <c r="W9" i="1"/>
  <c r="AC9" i="1"/>
  <c r="AI9" i="1"/>
  <c r="AO9" i="1"/>
  <c r="AU9" i="1"/>
  <c r="BA9" i="1"/>
  <c r="BG9" i="1"/>
  <c r="BM9" i="1"/>
  <c r="BY9" i="1"/>
  <c r="K10" i="1"/>
  <c r="Q10" i="1"/>
  <c r="W10" i="1"/>
  <c r="AC10" i="1"/>
  <c r="AI10" i="1"/>
  <c r="AO10" i="1"/>
  <c r="AU10" i="1"/>
  <c r="BA10" i="1"/>
  <c r="BG10" i="1"/>
  <c r="BM10" i="1"/>
  <c r="BS10" i="1"/>
  <c r="BY10" i="1"/>
  <c r="K11" i="1"/>
  <c r="Q11" i="1"/>
  <c r="W11" i="1"/>
  <c r="AC11" i="1"/>
  <c r="AI11" i="1"/>
  <c r="AO11" i="1"/>
  <c r="AU11" i="1"/>
  <c r="BA11" i="1"/>
  <c r="BG11" i="1"/>
  <c r="BM11" i="1"/>
  <c r="BS11" i="1"/>
  <c r="BY11" i="1"/>
  <c r="K12" i="1"/>
  <c r="Q12" i="1"/>
  <c r="W12" i="1"/>
  <c r="AC12" i="1"/>
  <c r="AI12" i="1"/>
  <c r="AO12" i="1"/>
  <c r="AU12" i="1"/>
  <c r="BA12" i="1"/>
  <c r="BG12" i="1"/>
  <c r="BM12" i="1"/>
  <c r="BS12" i="1"/>
  <c r="BY12" i="1"/>
  <c r="K13" i="1"/>
  <c r="Q13" i="1"/>
  <c r="W13" i="1"/>
  <c r="AC13" i="1"/>
  <c r="AI13" i="1"/>
  <c r="AO13" i="1"/>
  <c r="AU13" i="1"/>
  <c r="BA13" i="1"/>
  <c r="BG13" i="1"/>
  <c r="BM13" i="1"/>
  <c r="BS13" i="1"/>
  <c r="BY13" i="1"/>
  <c r="K14" i="1"/>
  <c r="Q14" i="1"/>
  <c r="W14" i="1"/>
  <c r="AC14" i="1"/>
  <c r="AI14" i="1"/>
  <c r="AO14" i="1"/>
  <c r="AU14" i="1"/>
  <c r="BA14" i="1"/>
  <c r="BG14" i="1"/>
  <c r="BM14" i="1"/>
  <c r="BS14" i="1"/>
  <c r="BY14" i="1"/>
  <c r="BY15" i="1" l="1"/>
  <c r="BS15" i="1"/>
  <c r="BM15" i="1"/>
  <c r="E8" i="1"/>
  <c r="E7" i="1"/>
  <c r="E9" i="1" l="1"/>
  <c r="AO15" i="1"/>
  <c r="AI15" i="1"/>
  <c r="AC15" i="1"/>
  <c r="BG15" i="1"/>
  <c r="BA15" i="1"/>
  <c r="AU15" i="1"/>
  <c r="W15" i="1"/>
  <c r="Q15" i="1"/>
  <c r="CA16" i="1" l="1"/>
  <c r="CA7" i="1"/>
  <c r="CD7" i="1" s="1"/>
  <c r="CA4" i="1"/>
  <c r="CA6" i="1"/>
  <c r="CD6" i="1" s="1"/>
  <c r="CA8" i="1"/>
  <c r="CD8" i="1" s="1"/>
  <c r="BU9" i="1"/>
  <c r="BX9" i="1" s="1"/>
  <c r="CA10" i="1"/>
  <c r="CD10" i="1" s="1"/>
  <c r="CA12" i="1"/>
  <c r="CD12" i="1" s="1"/>
  <c r="CA14" i="1"/>
  <c r="CD14" i="1" s="1"/>
  <c r="CA5" i="1"/>
  <c r="CA13" i="1"/>
  <c r="CD13" i="1" s="1"/>
  <c r="CA11" i="1"/>
  <c r="CD11" i="1" s="1"/>
  <c r="CA9" i="1"/>
  <c r="CD9" i="1" s="1"/>
  <c r="BU14" i="1"/>
  <c r="BX14" i="1" s="1"/>
  <c r="BO9" i="1"/>
  <c r="BR9" i="1" s="1"/>
  <c r="BO7" i="1"/>
  <c r="BR7" i="1" s="1"/>
  <c r="BU12" i="1"/>
  <c r="BX12" i="1" s="1"/>
  <c r="BO12" i="1"/>
  <c r="BR12" i="1" s="1"/>
  <c r="BU13" i="1"/>
  <c r="BX13" i="1" s="1"/>
  <c r="BU10" i="1"/>
  <c r="BX10" i="1" s="1"/>
  <c r="BO6" i="1"/>
  <c r="BR6" i="1" s="1"/>
  <c r="BO4" i="1"/>
  <c r="BR4" i="1" s="1"/>
  <c r="BU6" i="1"/>
  <c r="BX6" i="1" s="1"/>
  <c r="BO8" i="1"/>
  <c r="BO13" i="1"/>
  <c r="BR13" i="1" s="1"/>
  <c r="BO10" i="1"/>
  <c r="BR10" i="1" s="1"/>
  <c r="BU16" i="1"/>
  <c r="BO14" i="1"/>
  <c r="BR14" i="1" s="1"/>
  <c r="BO11" i="1"/>
  <c r="BR11" i="1" s="1"/>
  <c r="BO5" i="1"/>
  <c r="BU8" i="1"/>
  <c r="BU11" i="1"/>
  <c r="BX11" i="1" s="1"/>
  <c r="BU5" i="1"/>
  <c r="BX5" i="1" s="1"/>
  <c r="BU4" i="1"/>
  <c r="BX4" i="1" s="1"/>
  <c r="BO16" i="1"/>
  <c r="BU7" i="1"/>
  <c r="BX7" i="1" s="1"/>
  <c r="K38" i="1"/>
  <c r="K37" i="1"/>
  <c r="L38" i="1"/>
  <c r="CA15" i="1"/>
  <c r="CD15" i="1" s="1"/>
  <c r="L39" i="1"/>
  <c r="BU15" i="1"/>
  <c r="BX15" i="1" s="1"/>
  <c r="BO15" i="1"/>
  <c r="BR15" i="1" s="1"/>
  <c r="K15" i="1"/>
  <c r="C8" i="1"/>
  <c r="D8" i="1"/>
  <c r="C7" i="1"/>
  <c r="D7" i="1"/>
  <c r="B8" i="1"/>
  <c r="B7" i="1"/>
  <c r="K39" i="1" l="1"/>
  <c r="BR5" i="1"/>
  <c r="M40" i="1"/>
  <c r="K40" i="1"/>
  <c r="BR8" i="1"/>
  <c r="L40" i="1"/>
  <c r="BX8" i="1"/>
  <c r="M37" i="1"/>
  <c r="CD4" i="1"/>
  <c r="M39" i="1"/>
  <c r="CD5" i="1"/>
  <c r="F29" i="1"/>
  <c r="F33" i="1"/>
  <c r="F23" i="1"/>
  <c r="M38" i="1"/>
  <c r="F26" i="1"/>
  <c r="F21" i="1"/>
  <c r="L37" i="1"/>
  <c r="F27" i="1"/>
  <c r="F22" i="1"/>
  <c r="F30" i="1"/>
  <c r="F24" i="1"/>
  <c r="F32" i="1"/>
  <c r="F31" i="1"/>
  <c r="F25" i="1"/>
  <c r="F28" i="1"/>
  <c r="B9" i="1"/>
  <c r="D9" i="1"/>
  <c r="AW5" i="1" s="1"/>
  <c r="AZ5" i="1" s="1"/>
  <c r="C9" i="1"/>
  <c r="AQ5" i="1" s="1"/>
  <c r="AT5" i="1" s="1"/>
  <c r="AE16" i="1" l="1"/>
  <c r="AE5" i="1"/>
  <c r="AE4" i="1"/>
  <c r="AH4" i="1" s="1"/>
  <c r="AE6" i="1"/>
  <c r="AH6" i="1" s="1"/>
  <c r="AE8" i="1"/>
  <c r="AE10" i="1"/>
  <c r="AH10" i="1" s="1"/>
  <c r="AE12" i="1"/>
  <c r="AH12" i="1" s="1"/>
  <c r="AE14" i="1"/>
  <c r="AH14" i="1" s="1"/>
  <c r="AE7" i="1"/>
  <c r="AH7" i="1" s="1"/>
  <c r="AE9" i="1"/>
  <c r="AH9" i="1" s="1"/>
  <c r="AE11" i="1"/>
  <c r="AH11" i="1" s="1"/>
  <c r="AE13" i="1"/>
  <c r="AH13" i="1" s="1"/>
  <c r="AQ14" i="1"/>
  <c r="AT14" i="1" s="1"/>
  <c r="AQ11" i="1"/>
  <c r="AT11" i="1" s="1"/>
  <c r="AQ7" i="1"/>
  <c r="AT7" i="1" s="1"/>
  <c r="AQ12" i="1"/>
  <c r="AT12" i="1" s="1"/>
  <c r="AQ16" i="1"/>
  <c r="AK13" i="1"/>
  <c r="AN13" i="1" s="1"/>
  <c r="AK5" i="1"/>
  <c r="AN5" i="1" s="1"/>
  <c r="AK12" i="1"/>
  <c r="AN12" i="1" s="1"/>
  <c r="G39" i="1"/>
  <c r="AQ9" i="1"/>
  <c r="AT9" i="1" s="1"/>
  <c r="AQ6" i="1"/>
  <c r="AT6" i="1" s="1"/>
  <c r="AQ4" i="1"/>
  <c r="AK7" i="1"/>
  <c r="AN7" i="1" s="1"/>
  <c r="AK14" i="1"/>
  <c r="AN14" i="1" s="1"/>
  <c r="AK6" i="1"/>
  <c r="AN6" i="1" s="1"/>
  <c r="AK4" i="1"/>
  <c r="AQ10" i="1"/>
  <c r="AT10" i="1" s="1"/>
  <c r="AQ8" i="1"/>
  <c r="AQ13" i="1"/>
  <c r="AT13" i="1" s="1"/>
  <c r="AK9" i="1"/>
  <c r="AN9" i="1" s="1"/>
  <c r="AK8" i="1"/>
  <c r="AN8" i="1" s="1"/>
  <c r="AK10" i="1"/>
  <c r="AN10" i="1" s="1"/>
  <c r="AK16" i="1"/>
  <c r="AK11" i="1"/>
  <c r="AN11" i="1" s="1"/>
  <c r="BC4" i="1"/>
  <c r="BC6" i="1"/>
  <c r="BC8" i="1"/>
  <c r="BF8" i="1" s="1"/>
  <c r="BC16" i="1"/>
  <c r="BC5" i="1"/>
  <c r="BC7" i="1"/>
  <c r="BF7" i="1" s="1"/>
  <c r="BC9" i="1"/>
  <c r="BF9" i="1" s="1"/>
  <c r="BC11" i="1"/>
  <c r="BF11" i="1" s="1"/>
  <c r="BC13" i="1"/>
  <c r="BF13" i="1" s="1"/>
  <c r="BC14" i="1"/>
  <c r="BF14" i="1" s="1"/>
  <c r="BC12" i="1"/>
  <c r="BF12" i="1" s="1"/>
  <c r="BC10" i="1"/>
  <c r="BF10" i="1" s="1"/>
  <c r="AW10" i="1"/>
  <c r="AZ10" i="1" s="1"/>
  <c r="AW4" i="1"/>
  <c r="BI10" i="1"/>
  <c r="BL10" i="1" s="1"/>
  <c r="AW7" i="1"/>
  <c r="AZ7" i="1" s="1"/>
  <c r="AW16" i="1"/>
  <c r="BI9" i="1"/>
  <c r="BL9" i="1" s="1"/>
  <c r="AW13" i="1"/>
  <c r="AZ13" i="1" s="1"/>
  <c r="H39" i="1"/>
  <c r="AW12" i="1"/>
  <c r="AZ12" i="1" s="1"/>
  <c r="AW6" i="1"/>
  <c r="AZ6" i="1" s="1"/>
  <c r="BI12" i="1"/>
  <c r="BL12" i="1" s="1"/>
  <c r="BI4" i="1"/>
  <c r="BI11" i="1"/>
  <c r="BL11" i="1" s="1"/>
  <c r="AW11" i="1"/>
  <c r="AZ11" i="1" s="1"/>
  <c r="AW14" i="1"/>
  <c r="AZ14" i="1" s="1"/>
  <c r="AW8" i="1"/>
  <c r="BI14" i="1"/>
  <c r="BL14" i="1" s="1"/>
  <c r="BI6" i="1"/>
  <c r="BI13" i="1"/>
  <c r="BL13" i="1" s="1"/>
  <c r="BI16" i="1"/>
  <c r="AW9" i="1"/>
  <c r="AZ9" i="1" s="1"/>
  <c r="BI7" i="1"/>
  <c r="BL7" i="1" s="1"/>
  <c r="BI5" i="1"/>
  <c r="BL5" i="1" s="1"/>
  <c r="BI8" i="1"/>
  <c r="BL8" i="1" s="1"/>
  <c r="Y14" i="1"/>
  <c r="AB14" i="1" s="1"/>
  <c r="S5" i="1"/>
  <c r="S13" i="1"/>
  <c r="V13" i="1" s="1"/>
  <c r="S9" i="1"/>
  <c r="V9" i="1" s="1"/>
  <c r="S7" i="1"/>
  <c r="V7" i="1" s="1"/>
  <c r="S14" i="1"/>
  <c r="V14" i="1" s="1"/>
  <c r="S11" i="1"/>
  <c r="V11" i="1" s="1"/>
  <c r="S10" i="1"/>
  <c r="V10" i="1" s="1"/>
  <c r="Y13" i="1"/>
  <c r="AB13" i="1" s="1"/>
  <c r="Y7" i="1"/>
  <c r="AB7" i="1" s="1"/>
  <c r="M8" i="1"/>
  <c r="P8" i="1" s="1"/>
  <c r="M7" i="1"/>
  <c r="P7" i="1" s="1"/>
  <c r="M5" i="1"/>
  <c r="Y12" i="1"/>
  <c r="AB12" i="1" s="1"/>
  <c r="S12" i="1"/>
  <c r="V12" i="1" s="1"/>
  <c r="S16" i="1"/>
  <c r="Y9" i="1"/>
  <c r="AB9" i="1" s="1"/>
  <c r="M10" i="1"/>
  <c r="P10" i="1" s="1"/>
  <c r="Y6" i="1"/>
  <c r="AB6" i="1" s="1"/>
  <c r="M9" i="1"/>
  <c r="P9" i="1" s="1"/>
  <c r="Y10" i="1"/>
  <c r="AB10" i="1" s="1"/>
  <c r="S8" i="1"/>
  <c r="S4" i="1"/>
  <c r="V4" i="1" s="1"/>
  <c r="Y16" i="1"/>
  <c r="M12" i="1"/>
  <c r="P12" i="1" s="1"/>
  <c r="M11" i="1"/>
  <c r="P11" i="1" s="1"/>
  <c r="S6" i="1"/>
  <c r="Y8" i="1"/>
  <c r="Y11" i="1"/>
  <c r="AB11" i="1" s="1"/>
  <c r="Y5" i="1"/>
  <c r="AB5" i="1" s="1"/>
  <c r="M14" i="1"/>
  <c r="P14" i="1" s="1"/>
  <c r="M6" i="1"/>
  <c r="P6" i="1" s="1"/>
  <c r="Y4" i="1"/>
  <c r="M13" i="1"/>
  <c r="P13" i="1" s="1"/>
  <c r="M16" i="1"/>
  <c r="S15" i="1"/>
  <c r="V15" i="1" s="1"/>
  <c r="BI15" i="1"/>
  <c r="BL15" i="1" s="1"/>
  <c r="AW15" i="1"/>
  <c r="AZ15" i="1" s="1"/>
  <c r="BC15" i="1"/>
  <c r="BF15" i="1" s="1"/>
  <c r="H38" i="1"/>
  <c r="J39" i="1"/>
  <c r="J40" i="1"/>
  <c r="I40" i="1"/>
  <c r="D38" i="1"/>
  <c r="Y15" i="1"/>
  <c r="AB15" i="1" s="1"/>
  <c r="AE15" i="1"/>
  <c r="AH15" i="1" s="1"/>
  <c r="AQ15" i="1"/>
  <c r="AT15" i="1" s="1"/>
  <c r="G38" i="1"/>
  <c r="AK15" i="1"/>
  <c r="AN15" i="1" s="1"/>
  <c r="F39" i="1"/>
  <c r="B40" i="1"/>
  <c r="M15" i="1"/>
  <c r="P15" i="1" s="1"/>
  <c r="J37" i="1" l="1"/>
  <c r="BL4" i="1"/>
  <c r="G37" i="1"/>
  <c r="AT4" i="1"/>
  <c r="F38" i="1"/>
  <c r="F40" i="1"/>
  <c r="D39" i="1"/>
  <c r="C21" i="1"/>
  <c r="J38" i="1"/>
  <c r="BL6" i="1"/>
  <c r="H37" i="1"/>
  <c r="AZ4" i="1"/>
  <c r="I38" i="1"/>
  <c r="BF6" i="1"/>
  <c r="G40" i="1"/>
  <c r="AT8" i="1"/>
  <c r="E39" i="1"/>
  <c r="AH5" i="1"/>
  <c r="H40" i="1"/>
  <c r="AZ8" i="1"/>
  <c r="F37" i="1"/>
  <c r="AN4" i="1"/>
  <c r="E38" i="1"/>
  <c r="C37" i="1"/>
  <c r="I39" i="1"/>
  <c r="BF5" i="1"/>
  <c r="I37" i="1"/>
  <c r="BF4" i="1"/>
  <c r="E40" i="1"/>
  <c r="AH8" i="1"/>
  <c r="D40" i="1"/>
  <c r="AB8" i="1"/>
  <c r="B39" i="1"/>
  <c r="P5" i="1"/>
  <c r="B38" i="1"/>
  <c r="C38" i="1"/>
  <c r="V6" i="1"/>
  <c r="D37" i="1"/>
  <c r="AB4" i="1"/>
  <c r="B37" i="1"/>
  <c r="C40" i="1"/>
  <c r="V8" i="1"/>
  <c r="C39" i="1"/>
  <c r="V5" i="1"/>
  <c r="D33" i="1"/>
  <c r="C33" i="1"/>
  <c r="E33" i="1"/>
  <c r="D21" i="1"/>
  <c r="E37" i="1"/>
  <c r="C24" i="1"/>
  <c r="D28" i="1"/>
  <c r="D23" i="1"/>
  <c r="C26" i="1"/>
  <c r="C32" i="1"/>
  <c r="D24" i="1"/>
  <c r="C31" i="1"/>
  <c r="E28" i="1"/>
  <c r="E23" i="1"/>
  <c r="C23" i="1"/>
  <c r="C22" i="1"/>
  <c r="D22" i="1"/>
  <c r="C30" i="1"/>
  <c r="E26" i="1"/>
  <c r="E24" i="1"/>
  <c r="E27" i="1"/>
  <c r="E25" i="1"/>
  <c r="D27" i="1"/>
  <c r="D32" i="1"/>
  <c r="C27" i="1"/>
  <c r="E30" i="1"/>
  <c r="E31" i="1"/>
  <c r="C29" i="1"/>
  <c r="D26" i="1"/>
  <c r="D29" i="1"/>
  <c r="D30" i="1"/>
  <c r="C28" i="1"/>
  <c r="E21" i="1"/>
  <c r="E29" i="1"/>
  <c r="E32" i="1"/>
  <c r="C25" i="1"/>
  <c r="D31" i="1"/>
  <c r="D25" i="1"/>
  <c r="E22" i="1"/>
</calcChain>
</file>

<file path=xl/sharedStrings.xml><?xml version="1.0" encoding="utf-8"?>
<sst xmlns="http://schemas.openxmlformats.org/spreadsheetml/2006/main" count="364" uniqueCount="134">
  <si>
    <t>2 jam</t>
  </si>
  <si>
    <t>4 jam</t>
  </si>
  <si>
    <t>6 jam</t>
  </si>
  <si>
    <t>24 jam</t>
  </si>
  <si>
    <t>awal</t>
  </si>
  <si>
    <t>akhir</t>
  </si>
  <si>
    <t>rata-rata</t>
  </si>
  <si>
    <t xml:space="preserve">organ </t>
  </si>
  <si>
    <t>cacahan</t>
  </si>
  <si>
    <t>No</t>
  </si>
  <si>
    <t>kulit</t>
  </si>
  <si>
    <t>otot</t>
  </si>
  <si>
    <t>tulang</t>
  </si>
  <si>
    <t xml:space="preserve">darah </t>
  </si>
  <si>
    <t>usus</t>
  </si>
  <si>
    <t>hati</t>
  </si>
  <si>
    <t>ginjal</t>
  </si>
  <si>
    <t>limpa</t>
  </si>
  <si>
    <t>jantung</t>
  </si>
  <si>
    <t>paru-paru</t>
  </si>
  <si>
    <t>otak</t>
  </si>
  <si>
    <t>lambung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</si>
  <si>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</si>
  <si>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</si>
  <si>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</si>
  <si>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</si>
  <si>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</si>
  <si>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</si>
  <si>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</si>
  <si>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</si>
  <si>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</si>
  <si>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</si>
  <si>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</si>
  <si>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</si>
  <si>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berat </t>
  </si>
  <si>
    <t>berat</t>
  </si>
  <si>
    <t>Hewan</t>
  </si>
  <si>
    <t>berat kertas</t>
  </si>
  <si>
    <r>
      <t>Vol. STD (</t>
    </r>
    <r>
      <rPr>
        <b/>
        <sz val="11"/>
        <color theme="1"/>
        <rFont val="Calibri"/>
        <family val="2"/>
      </rPr>
      <t>µL)</t>
    </r>
  </si>
  <si>
    <t>vol. injeksi (µL)</t>
  </si>
  <si>
    <t>%ID/gr</t>
  </si>
  <si>
    <t>Organ</t>
  </si>
  <si>
    <t>ket</t>
  </si>
  <si>
    <t>std A</t>
  </si>
  <si>
    <t>std B</t>
  </si>
  <si>
    <t>bladder</t>
  </si>
  <si>
    <t>%ID otot</t>
  </si>
  <si>
    <t>%ID darah</t>
  </si>
  <si>
    <t>%ID tulang</t>
  </si>
  <si>
    <t>Interval Waktu</t>
  </si>
  <si>
    <t>%ID hati</t>
  </si>
  <si>
    <t>]</t>
  </si>
  <si>
    <t>gr organ human</t>
  </si>
  <si>
    <t>gr organ/TB human</t>
  </si>
  <si>
    <t>berat manusia</t>
  </si>
  <si>
    <t>%ID in human</t>
  </si>
  <si>
    <t>%ID  human</t>
  </si>
  <si>
    <t>Berat Hewan gr</t>
  </si>
  <si>
    <t>%ID/gr organ hewan</t>
  </si>
  <si>
    <t>%ID organ human</t>
  </si>
  <si>
    <t>Residence Time human</t>
  </si>
  <si>
    <t>Residence time hwn</t>
  </si>
  <si>
    <t>q)</t>
  </si>
  <si>
    <t>Effective Dose (mSv/MB</t>
  </si>
  <si>
    <t>ent (mSv/MBq)</t>
  </si>
  <si>
    <t>Effective Dose Equival</t>
  </si>
  <si>
    <t>Total Body</t>
  </si>
  <si>
    <t>Uterus</t>
  </si>
  <si>
    <t>Urinary Bladder Wall</t>
  </si>
  <si>
    <t>Thyroid</t>
  </si>
  <si>
    <t>Thymus</t>
  </si>
  <si>
    <t>Spleen</t>
  </si>
  <si>
    <t>Skin</t>
  </si>
  <si>
    <t>Osteogenic Cells</t>
  </si>
  <si>
    <t>Red Marrow</t>
  </si>
  <si>
    <t>Pancreas</t>
  </si>
  <si>
    <t>Ovaries</t>
  </si>
  <si>
    <t>Muscle</t>
  </si>
  <si>
    <t>Lungs</t>
  </si>
  <si>
    <t>Liver</t>
  </si>
  <si>
    <t>Kidneys</t>
  </si>
  <si>
    <t>Heart Wall</t>
  </si>
  <si>
    <t>ULI Wall</t>
  </si>
  <si>
    <t>Stomach Wall</t>
  </si>
  <si>
    <t>Small Intestine</t>
  </si>
  <si>
    <t>LLI Wall</t>
  </si>
  <si>
    <t>Gallbladder Wall</t>
  </si>
  <si>
    <t>Breasts</t>
  </si>
  <si>
    <t>Brain</t>
  </si>
  <si>
    <t>Adrenals</t>
  </si>
  <si>
    <t>ED Cont.</t>
  </si>
  <si>
    <t>EDE Cont.</t>
  </si>
  <si>
    <t>Total</t>
  </si>
  <si>
    <t>Photon</t>
  </si>
  <si>
    <t>Beta</t>
  </si>
  <si>
    <t>Alpha</t>
  </si>
  <si>
    <t>Target Organ</t>
  </si>
  <si>
    <t>Testes</t>
  </si>
  <si>
    <t>Organ Doses (mSv/MBq), Nuclide: Tc-99m(6.01E+0 hr) Adult Male</t>
  </si>
  <si>
    <t>Organ Doses (mSv/MBq), Nuclide: Tc-99m(6.01E+0 hr) Adult Female</t>
  </si>
  <si>
    <t>sumsum merah</t>
  </si>
  <si>
    <t>wanita</t>
  </si>
  <si>
    <t>paru paru</t>
  </si>
  <si>
    <t>kandung kemih</t>
  </si>
  <si>
    <t>usus halus</t>
  </si>
  <si>
    <t>tyroid</t>
  </si>
  <si>
    <t>kelenjar adrenal</t>
  </si>
  <si>
    <t>kelenjar tymus</t>
  </si>
  <si>
    <t>pankreas</t>
  </si>
  <si>
    <t>laki-laki</t>
  </si>
  <si>
    <t>dosis efektif (mSv/MBq)</t>
  </si>
  <si>
    <t>organ target</t>
  </si>
  <si>
    <t>sel osteogenik</t>
  </si>
  <si>
    <t>Tc-MDP</t>
  </si>
  <si>
    <t>dot krts WM</t>
  </si>
  <si>
    <t>std error</t>
  </si>
  <si>
    <t>NaCl</t>
  </si>
  <si>
    <t>Aceton K</t>
  </si>
  <si>
    <t>Na</t>
  </si>
  <si>
    <t>Ac</t>
  </si>
  <si>
    <t>TOTAL</t>
  </si>
  <si>
    <t>peak</t>
  </si>
  <si>
    <t>jumlah total</t>
  </si>
  <si>
    <t>TcO2/TcO4</t>
  </si>
  <si>
    <t>%TcO2/%TcO4</t>
  </si>
  <si>
    <t>kemurnian radiofarmaka</t>
  </si>
  <si>
    <t>Pengotor Radiofarmaka</t>
  </si>
  <si>
    <t>Tc-mdp</t>
  </si>
  <si>
    <t>TcO2</t>
  </si>
  <si>
    <t>TcO4</t>
  </si>
  <si>
    <t>%Tc-MDP</t>
  </si>
  <si>
    <r>
      <t xml:space="preserve">98.49 </t>
    </r>
    <r>
      <rPr>
        <sz val="11"/>
        <color theme="1"/>
        <rFont val="Calibri"/>
        <family val="2"/>
      </rPr>
      <t>±25.37</t>
    </r>
  </si>
  <si>
    <t>1.5098±32.91</t>
  </si>
  <si>
    <t>0.0449±17.84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</si>
</sst>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6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/>
    <xf numFmtId="0" fontId="2" fillId="0" borderId="5" xfId="0" applyFont="1" applyBorder="1"/>
    <xf numFmtId="0" fontId="1" fillId="0" borderId="0" xfId="0" applyFont="1" applyBorder="1"/>
    <xf numFmtId="0" fontId="0" fillId="0" borderId="0" xfId="0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Fill="1" applyBorder="1"/>
    <xf numFmtId="0" fontId="2" fillId="0" borderId="0" xfId="0" applyFont="1" applyFill="1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8" xfId="0" applyFont="1" applyBorder="1"/>
    <xf numFmtId="0" fontId="0" fillId="0" borderId="1" xfId="0" applyBorder="1" applyAlignment="1"/>
    <xf numFmtId="11" fontId="0" fillId="0" borderId="1" xfId="0" applyNumberFormat="1" applyBorder="1"/>
    <xf numFmtId="11" fontId="0" fillId="0" borderId="0" xfId="0" applyNumberFormat="1"/>
    <xf numFmtId="11" fontId="0" fillId="0" borderId="0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Aceton</a:t>
            </a:r>
            <a:r>
              <a:rPr lang="en-US" baseline="0">
                <a:latin typeface="Times New Roman" pitchFamily="18" charset="0"/>
                <a:cs typeface="Times New Roman" pitchFamily="18" charset="0"/>
              </a:rPr>
              <a:t> Kering</a:t>
            </a:r>
            <a:endParaRPr lang="en-US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722462817147856"/>
          <c:y val="0.20406277340332457"/>
          <c:w val="0.78221981627296588"/>
          <c:h val="0.68387685914260721"/>
        </c:manualLayout>
      </c:layout>
      <c:lineChart>
        <c:grouping val="stacked"/>
        <c:varyColors val="0"/>
        <c:ser>
          <c:idx val="0"/>
          <c:order val="0"/>
          <c:cat>
            <c:numRef>
              <c:f>'kemurnian radiofarmaka'!$B$4:$B$13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'kemurnian radiofarmaka'!$D$4:$D$13</c:f>
              <c:numCache>
                <c:formatCode>General</c:formatCode>
                <c:ptCount val="10"/>
                <c:pt idx="0">
                  <c:v>-5</c:v>
                </c:pt>
                <c:pt idx="1">
                  <c:v>102257</c:v>
                </c:pt>
                <c:pt idx="2">
                  <c:v>-13</c:v>
                </c:pt>
                <c:pt idx="3">
                  <c:v>-13</c:v>
                </c:pt>
                <c:pt idx="4">
                  <c:v>-15</c:v>
                </c:pt>
                <c:pt idx="5">
                  <c:v>-8</c:v>
                </c:pt>
                <c:pt idx="6">
                  <c:v>-11</c:v>
                </c:pt>
                <c:pt idx="7">
                  <c:v>10</c:v>
                </c:pt>
                <c:pt idx="8">
                  <c:v>1</c:v>
                </c:pt>
                <c:pt idx="9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6766976"/>
        <c:axId val="96912512"/>
      </c:lineChart>
      <c:catAx>
        <c:axId val="9676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Jarak</a:t>
                </a:r>
                <a:r>
                  <a:rPr lang="en-US" baseline="0">
                    <a:latin typeface="Times New Roman" pitchFamily="18" charset="0"/>
                    <a:cs typeface="Times New Roman" pitchFamily="18" charset="0"/>
                  </a:rPr>
                  <a:t> elusi (cm)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6912512"/>
        <c:crosses val="autoZero"/>
        <c:auto val="1"/>
        <c:lblAlgn val="ctr"/>
        <c:lblOffset val="100"/>
        <c:noMultiLvlLbl val="0"/>
      </c:catAx>
      <c:valAx>
        <c:axId val="969125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Cacah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676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NaCl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925240594925635"/>
          <c:y val="0.14850721784776905"/>
          <c:w val="0.81019203849518817"/>
          <c:h val="0.68826735199766698"/>
        </c:manualLayout>
      </c:layout>
      <c:lineChart>
        <c:grouping val="standard"/>
        <c:varyColors val="0"/>
        <c:ser>
          <c:idx val="0"/>
          <c:order val="0"/>
          <c:tx>
            <c:v>Tc-NaCl</c:v>
          </c:tx>
          <c:cat>
            <c:numRef>
              <c:f>'kemurnian radiofarmaka'!$B$4:$B$13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cat>
          <c:val>
            <c:numRef>
              <c:f>'kemurnian radiofarmaka'!$C$4:$C$13</c:f>
              <c:numCache>
                <c:formatCode>General</c:formatCode>
                <c:ptCount val="10"/>
                <c:pt idx="0">
                  <c:v>32</c:v>
                </c:pt>
                <c:pt idx="1">
                  <c:v>1243</c:v>
                </c:pt>
                <c:pt idx="2">
                  <c:v>332</c:v>
                </c:pt>
                <c:pt idx="3">
                  <c:v>220</c:v>
                </c:pt>
                <c:pt idx="4">
                  <c:v>447</c:v>
                </c:pt>
                <c:pt idx="5">
                  <c:v>1720</c:v>
                </c:pt>
                <c:pt idx="6">
                  <c:v>34225</c:v>
                </c:pt>
                <c:pt idx="7">
                  <c:v>65271</c:v>
                </c:pt>
                <c:pt idx="8">
                  <c:v>2919</c:v>
                </c:pt>
                <c:pt idx="9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26464"/>
        <c:axId val="97030144"/>
      </c:lineChart>
      <c:catAx>
        <c:axId val="9972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Jarak</a:t>
                </a:r>
                <a:r>
                  <a:rPr lang="en-US" baseline="0">
                    <a:latin typeface="Times New Roman" pitchFamily="18" charset="0"/>
                    <a:cs typeface="Times New Roman" pitchFamily="18" charset="0"/>
                  </a:rPr>
                  <a:t> elusi (cm)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44112620297462818"/>
              <c:y val="0.8971988918051909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97030144"/>
        <c:crosses val="autoZero"/>
        <c:auto val="1"/>
        <c:lblAlgn val="ctr"/>
        <c:lblOffset val="100"/>
        <c:noMultiLvlLbl val="1"/>
      </c:catAx>
      <c:valAx>
        <c:axId val="970301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Cacah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33566637503645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9972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41580792333845"/>
          <c:y val="4.0117505636998625E-2"/>
          <c:w val="0.79489844809667243"/>
          <c:h val="0.74022035863403257"/>
        </c:manualLayout>
      </c:layout>
      <c:barChart>
        <c:barDir val="col"/>
        <c:grouping val="clustered"/>
        <c:varyColors val="0"/>
        <c:ser>
          <c:idx val="0"/>
          <c:order val="0"/>
          <c:tx>
            <c:v>2 jam</c:v>
          </c:tx>
          <c:invertIfNegative val="0"/>
          <c:cat>
            <c:strRef>
              <c:f>'ID gr organ'!$B$21:$B$33</c:f>
              <c:strCache>
                <c:ptCount val="13"/>
                <c:pt idx="0">
                  <c:v>otot</c:v>
                </c:pt>
                <c:pt idx="1">
                  <c:v>tulang</c:v>
                </c:pt>
                <c:pt idx="2">
                  <c:v>darah </c:v>
                </c:pt>
                <c:pt idx="3">
                  <c:v>usus</c:v>
                </c:pt>
                <c:pt idx="4">
                  <c:v>hati</c:v>
                </c:pt>
                <c:pt idx="5">
                  <c:v>limpa</c:v>
                </c:pt>
                <c:pt idx="6">
                  <c:v>ginjal</c:v>
                </c:pt>
                <c:pt idx="7">
                  <c:v>jantung</c:v>
                </c:pt>
                <c:pt idx="8">
                  <c:v>paru-paru</c:v>
                </c:pt>
                <c:pt idx="9">
                  <c:v>otak</c:v>
                </c:pt>
                <c:pt idx="10">
                  <c:v>lambung</c:v>
                </c:pt>
                <c:pt idx="11">
                  <c:v>kandung kemih</c:v>
                </c:pt>
                <c:pt idx="12">
                  <c:v>kulit</c:v>
                </c:pt>
              </c:strCache>
            </c:strRef>
          </c:cat>
          <c:val>
            <c:numRef>
              <c:f>'ID gr organ'!$C$21:$C$33</c:f>
              <c:numCache>
                <c:formatCode>General</c:formatCode>
                <c:ptCount val="13"/>
                <c:pt idx="0">
                  <c:v>0.10725226830476474</c:v>
                </c:pt>
                <c:pt idx="1">
                  <c:v>11.850391809414889</c:v>
                </c:pt>
                <c:pt idx="2">
                  <c:v>0.27210420148091863</c:v>
                </c:pt>
                <c:pt idx="3">
                  <c:v>0.22096738627854848</c:v>
                </c:pt>
                <c:pt idx="4">
                  <c:v>2.9348054059252568</c:v>
                </c:pt>
                <c:pt idx="5">
                  <c:v>1.1208716080685419</c:v>
                </c:pt>
                <c:pt idx="6">
                  <c:v>1.5722162497401895</c:v>
                </c:pt>
                <c:pt idx="7">
                  <c:v>0.29116501876246181</c:v>
                </c:pt>
                <c:pt idx="8">
                  <c:v>0.64750162008548928</c:v>
                </c:pt>
                <c:pt idx="9">
                  <c:v>3.014851136747183E-2</c:v>
                </c:pt>
                <c:pt idx="10">
                  <c:v>0.31754221303744384</c:v>
                </c:pt>
                <c:pt idx="11">
                  <c:v>4.118961463183374</c:v>
                </c:pt>
                <c:pt idx="12">
                  <c:v>0.38179694259415992</c:v>
                </c:pt>
              </c:numCache>
            </c:numRef>
          </c:val>
        </c:ser>
        <c:ser>
          <c:idx val="1"/>
          <c:order val="1"/>
          <c:tx>
            <c:v>4 jam</c:v>
          </c:tx>
          <c:invertIfNegative val="0"/>
          <c:cat>
            <c:strRef>
              <c:f>'ID gr organ'!$B$21:$B$33</c:f>
              <c:strCache>
                <c:ptCount val="13"/>
                <c:pt idx="0">
                  <c:v>otot</c:v>
                </c:pt>
                <c:pt idx="1">
                  <c:v>tulang</c:v>
                </c:pt>
                <c:pt idx="2">
                  <c:v>darah </c:v>
                </c:pt>
                <c:pt idx="3">
                  <c:v>usus</c:v>
                </c:pt>
                <c:pt idx="4">
                  <c:v>hati</c:v>
                </c:pt>
                <c:pt idx="5">
                  <c:v>limpa</c:v>
                </c:pt>
                <c:pt idx="6">
                  <c:v>ginjal</c:v>
                </c:pt>
                <c:pt idx="7">
                  <c:v>jantung</c:v>
                </c:pt>
                <c:pt idx="8">
                  <c:v>paru-paru</c:v>
                </c:pt>
                <c:pt idx="9">
                  <c:v>otak</c:v>
                </c:pt>
                <c:pt idx="10">
                  <c:v>lambung</c:v>
                </c:pt>
                <c:pt idx="11">
                  <c:v>kandung kemih</c:v>
                </c:pt>
                <c:pt idx="12">
                  <c:v>kulit</c:v>
                </c:pt>
              </c:strCache>
            </c:strRef>
          </c:cat>
          <c:val>
            <c:numRef>
              <c:f>'ID gr organ'!$D$21:$D$33</c:f>
              <c:numCache>
                <c:formatCode>General</c:formatCode>
                <c:ptCount val="13"/>
                <c:pt idx="0">
                  <c:v>0.14389587847595084</c:v>
                </c:pt>
                <c:pt idx="1">
                  <c:v>24.530850074834078</c:v>
                </c:pt>
                <c:pt idx="2">
                  <c:v>0.2520340056644515</c:v>
                </c:pt>
                <c:pt idx="3">
                  <c:v>0.4676872876960812</c:v>
                </c:pt>
                <c:pt idx="4">
                  <c:v>2.2323025523534592</c:v>
                </c:pt>
                <c:pt idx="5">
                  <c:v>1.0714599071600801</c:v>
                </c:pt>
                <c:pt idx="6">
                  <c:v>5.3554329559838232</c:v>
                </c:pt>
                <c:pt idx="7">
                  <c:v>0.57242534863894645</c:v>
                </c:pt>
                <c:pt idx="8">
                  <c:v>1.0797657246961327</c:v>
                </c:pt>
                <c:pt idx="9">
                  <c:v>5.4853361401900648E-2</c:v>
                </c:pt>
                <c:pt idx="10">
                  <c:v>0.6088099140753559</c:v>
                </c:pt>
                <c:pt idx="11">
                  <c:v>10.414188238002705</c:v>
                </c:pt>
                <c:pt idx="12">
                  <c:v>0.58686111977097721</c:v>
                </c:pt>
              </c:numCache>
            </c:numRef>
          </c:val>
        </c:ser>
        <c:ser>
          <c:idx val="2"/>
          <c:order val="2"/>
          <c:tx>
            <c:v>6 jam</c:v>
          </c:tx>
          <c:invertIfNegative val="0"/>
          <c:cat>
            <c:strRef>
              <c:f>'ID gr organ'!$B$21:$B$33</c:f>
              <c:strCache>
                <c:ptCount val="13"/>
                <c:pt idx="0">
                  <c:v>otot</c:v>
                </c:pt>
                <c:pt idx="1">
                  <c:v>tulang</c:v>
                </c:pt>
                <c:pt idx="2">
                  <c:v>darah </c:v>
                </c:pt>
                <c:pt idx="3">
                  <c:v>usus</c:v>
                </c:pt>
                <c:pt idx="4">
                  <c:v>hati</c:v>
                </c:pt>
                <c:pt idx="5">
                  <c:v>limpa</c:v>
                </c:pt>
                <c:pt idx="6">
                  <c:v>ginjal</c:v>
                </c:pt>
                <c:pt idx="7">
                  <c:v>jantung</c:v>
                </c:pt>
                <c:pt idx="8">
                  <c:v>paru-paru</c:v>
                </c:pt>
                <c:pt idx="9">
                  <c:v>otak</c:v>
                </c:pt>
                <c:pt idx="10">
                  <c:v>lambung</c:v>
                </c:pt>
                <c:pt idx="11">
                  <c:v>kandung kemih</c:v>
                </c:pt>
                <c:pt idx="12">
                  <c:v>kulit</c:v>
                </c:pt>
              </c:strCache>
            </c:strRef>
          </c:cat>
          <c:val>
            <c:numRef>
              <c:f>'ID gr organ'!$E$21:$E$33</c:f>
              <c:numCache>
                <c:formatCode>General</c:formatCode>
                <c:ptCount val="13"/>
                <c:pt idx="0">
                  <c:v>8.7636046049167082E-2</c:v>
                </c:pt>
                <c:pt idx="1">
                  <c:v>13.509628623204071</c:v>
                </c:pt>
                <c:pt idx="2">
                  <c:v>0.16632671867216162</c:v>
                </c:pt>
                <c:pt idx="3">
                  <c:v>0.14574958248637734</c:v>
                </c:pt>
                <c:pt idx="4">
                  <c:v>1.5792678966225029</c:v>
                </c:pt>
                <c:pt idx="5">
                  <c:v>0.79199904348514583</c:v>
                </c:pt>
                <c:pt idx="6">
                  <c:v>1.4523526186016895</c:v>
                </c:pt>
                <c:pt idx="7">
                  <c:v>0.26305935117145124</c:v>
                </c:pt>
                <c:pt idx="8">
                  <c:v>0.52260172481661515</c:v>
                </c:pt>
                <c:pt idx="9">
                  <c:v>2.0380472529436987E-2</c:v>
                </c:pt>
                <c:pt idx="10">
                  <c:v>0.45081590964162327</c:v>
                </c:pt>
                <c:pt idx="11">
                  <c:v>0.80893731877544051</c:v>
                </c:pt>
                <c:pt idx="12">
                  <c:v>0.45898636988178548</c:v>
                </c:pt>
              </c:numCache>
            </c:numRef>
          </c:val>
        </c:ser>
        <c:ser>
          <c:idx val="3"/>
          <c:order val="3"/>
          <c:tx>
            <c:v>24 jam</c:v>
          </c:tx>
          <c:invertIfNegative val="0"/>
          <c:cat>
            <c:strRef>
              <c:f>'ID gr organ'!$B$21:$B$33</c:f>
              <c:strCache>
                <c:ptCount val="13"/>
                <c:pt idx="0">
                  <c:v>otot</c:v>
                </c:pt>
                <c:pt idx="1">
                  <c:v>tulang</c:v>
                </c:pt>
                <c:pt idx="2">
                  <c:v>darah </c:v>
                </c:pt>
                <c:pt idx="3">
                  <c:v>usus</c:v>
                </c:pt>
                <c:pt idx="4">
                  <c:v>hati</c:v>
                </c:pt>
                <c:pt idx="5">
                  <c:v>limpa</c:v>
                </c:pt>
                <c:pt idx="6">
                  <c:v>ginjal</c:v>
                </c:pt>
                <c:pt idx="7">
                  <c:v>jantung</c:v>
                </c:pt>
                <c:pt idx="8">
                  <c:v>paru-paru</c:v>
                </c:pt>
                <c:pt idx="9">
                  <c:v>otak</c:v>
                </c:pt>
                <c:pt idx="10">
                  <c:v>lambung</c:v>
                </c:pt>
                <c:pt idx="11">
                  <c:v>kandung kemih</c:v>
                </c:pt>
                <c:pt idx="12">
                  <c:v>kulit</c:v>
                </c:pt>
              </c:strCache>
            </c:strRef>
          </c:cat>
          <c:val>
            <c:numRef>
              <c:f>'ID gr organ'!$F$21:$F$33</c:f>
              <c:numCache>
                <c:formatCode>General</c:formatCode>
                <c:ptCount val="13"/>
                <c:pt idx="0">
                  <c:v>5.1832149213746272E-2</c:v>
                </c:pt>
                <c:pt idx="1">
                  <c:v>6.9260957240189827</c:v>
                </c:pt>
                <c:pt idx="2">
                  <c:v>5.5563067447557818E-2</c:v>
                </c:pt>
                <c:pt idx="3">
                  <c:v>5.8374368786083118E-2</c:v>
                </c:pt>
                <c:pt idx="4">
                  <c:v>0.68656155375502148</c:v>
                </c:pt>
                <c:pt idx="5">
                  <c:v>0.73729000087890562</c:v>
                </c:pt>
                <c:pt idx="6">
                  <c:v>0.31510637944562836</c:v>
                </c:pt>
                <c:pt idx="7">
                  <c:v>0.14419535495377825</c:v>
                </c:pt>
                <c:pt idx="8">
                  <c:v>0.32677070354967669</c:v>
                </c:pt>
                <c:pt idx="9">
                  <c:v>7.3226714235564054E-3</c:v>
                </c:pt>
                <c:pt idx="10">
                  <c:v>0.34314055780458802</c:v>
                </c:pt>
                <c:pt idx="11">
                  <c:v>2.921291032365863</c:v>
                </c:pt>
                <c:pt idx="12">
                  <c:v>0.17305996879191674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96992"/>
        <c:axId val="97431936"/>
      </c:barChart>
      <c:catAx>
        <c:axId val="9739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Organ pada Hewan</a:t>
                </a:r>
              </a:p>
            </c:rich>
          </c:tx>
          <c:layout>
            <c:manualLayout>
              <c:xMode val="edge"/>
              <c:yMode val="edge"/>
              <c:x val="0.43494548080818757"/>
              <c:y val="0.93421846659411478"/>
            </c:manualLayout>
          </c:layout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97431936"/>
        <c:crosses val="autoZero"/>
        <c:auto val="0"/>
        <c:lblAlgn val="ctr"/>
        <c:lblOffset val="100"/>
        <c:noMultiLvlLbl val="0"/>
      </c:catAx>
      <c:valAx>
        <c:axId val="974319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%ID/gram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323651210265383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97396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84350613891384"/>
          <c:y val="0.14167708711207849"/>
          <c:w val="9.7242685268368295E-2"/>
          <c:h val="0.24519130230672387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9664849586111E-2"/>
          <c:y val="4.2908288637833317E-2"/>
          <c:w val="0.902194064203513"/>
          <c:h val="0.81382844535737375"/>
        </c:manualLayout>
      </c:layout>
      <c:barChart>
        <c:barDir val="col"/>
        <c:grouping val="clustered"/>
        <c:varyColors val="0"/>
        <c:ser>
          <c:idx val="0"/>
          <c:order val="0"/>
          <c:tx>
            <c:v>2 jam</c:v>
          </c:tx>
          <c:invertIfNegative val="0"/>
          <c:cat>
            <c:strRef>
              <c:f>'ID gr organ'!$B$21:$B$32</c:f>
              <c:strCache>
                <c:ptCount val="12"/>
                <c:pt idx="0">
                  <c:v>otot</c:v>
                </c:pt>
                <c:pt idx="1">
                  <c:v>tulang</c:v>
                </c:pt>
                <c:pt idx="2">
                  <c:v>darah </c:v>
                </c:pt>
                <c:pt idx="3">
                  <c:v>usus</c:v>
                </c:pt>
                <c:pt idx="4">
                  <c:v>hati</c:v>
                </c:pt>
                <c:pt idx="5">
                  <c:v>limpa</c:v>
                </c:pt>
                <c:pt idx="6">
                  <c:v>ginjal</c:v>
                </c:pt>
                <c:pt idx="7">
                  <c:v>jantung</c:v>
                </c:pt>
                <c:pt idx="8">
                  <c:v>paru-paru</c:v>
                </c:pt>
                <c:pt idx="9">
                  <c:v>otak</c:v>
                </c:pt>
                <c:pt idx="10">
                  <c:v>lambung</c:v>
                </c:pt>
                <c:pt idx="11">
                  <c:v>kandung kemih</c:v>
                </c:pt>
              </c:strCache>
            </c:strRef>
          </c:cat>
          <c:val>
            <c:numRef>
              <c:f>'ID gr organ'!$G$21:$G$32</c:f>
              <c:numCache>
                <c:formatCode>General</c:formatCode>
                <c:ptCount val="12"/>
                <c:pt idx="0">
                  <c:v>1.4001369350868209</c:v>
                </c:pt>
                <c:pt idx="1">
                  <c:v>26.792089713329378</c:v>
                </c:pt>
                <c:pt idx="2">
                  <c:v>0.70683120815273826</c:v>
                </c:pt>
                <c:pt idx="3">
                  <c:v>0.10085868404323801</c:v>
                </c:pt>
                <c:pt idx="4">
                  <c:v>2.7941578872514774</c:v>
                </c:pt>
                <c:pt idx="5">
                  <c:v>0.10079884332364054</c:v>
                </c:pt>
                <c:pt idx="6">
                  <c:v>0.25631571327678276</c:v>
                </c:pt>
                <c:pt idx="7">
                  <c:v>4.8196354967103061E-2</c:v>
                </c:pt>
                <c:pt idx="8">
                  <c:v>0.29347690478888983</c:v>
                </c:pt>
                <c:pt idx="9">
                  <c:v>2.2710982242119204E-2</c:v>
                </c:pt>
                <c:pt idx="10">
                  <c:v>2.2475363438702958E-2</c:v>
                </c:pt>
                <c:pt idx="11">
                  <c:v>8.6849517193322012E-2</c:v>
                </c:pt>
              </c:numCache>
            </c:numRef>
          </c:val>
        </c:ser>
        <c:ser>
          <c:idx val="1"/>
          <c:order val="1"/>
          <c:tx>
            <c:v>4 jam</c:v>
          </c:tx>
          <c:invertIfNegative val="0"/>
          <c:cat>
            <c:strRef>
              <c:f>'ID gr organ'!$B$21:$B$32</c:f>
              <c:strCache>
                <c:ptCount val="12"/>
                <c:pt idx="0">
                  <c:v>otot</c:v>
                </c:pt>
                <c:pt idx="1">
                  <c:v>tulang</c:v>
                </c:pt>
                <c:pt idx="2">
                  <c:v>darah </c:v>
                </c:pt>
                <c:pt idx="3">
                  <c:v>usus</c:v>
                </c:pt>
                <c:pt idx="4">
                  <c:v>hati</c:v>
                </c:pt>
                <c:pt idx="5">
                  <c:v>limpa</c:v>
                </c:pt>
                <c:pt idx="6">
                  <c:v>ginjal</c:v>
                </c:pt>
                <c:pt idx="7">
                  <c:v>jantung</c:v>
                </c:pt>
                <c:pt idx="8">
                  <c:v>paru-paru</c:v>
                </c:pt>
                <c:pt idx="9">
                  <c:v>otak</c:v>
                </c:pt>
                <c:pt idx="10">
                  <c:v>lambung</c:v>
                </c:pt>
                <c:pt idx="11">
                  <c:v>kandung kemih</c:v>
                </c:pt>
              </c:strCache>
            </c:strRef>
          </c:cat>
          <c:val>
            <c:numRef>
              <c:f>'ID gr organ'!$H$21:$H$32</c:f>
              <c:numCache>
                <c:formatCode>General</c:formatCode>
                <c:ptCount val="12"/>
                <c:pt idx="0">
                  <c:v>1.7383175613193484</c:v>
                </c:pt>
                <c:pt idx="1">
                  <c:v>52.828021959961291</c:v>
                </c:pt>
                <c:pt idx="2">
                  <c:v>0.62317489935609016</c:v>
                </c:pt>
                <c:pt idx="3">
                  <c:v>0.19862328468472135</c:v>
                </c:pt>
                <c:pt idx="4">
                  <c:v>2.0027249690940123</c:v>
                </c:pt>
                <c:pt idx="5">
                  <c:v>9.3339927278532894E-2</c:v>
                </c:pt>
                <c:pt idx="6">
                  <c:v>0.84900371215482295</c:v>
                </c:pt>
                <c:pt idx="7">
                  <c:v>8.9399051350759581E-2</c:v>
                </c:pt>
                <c:pt idx="8">
                  <c:v>0.46229129208118486</c:v>
                </c:pt>
                <c:pt idx="9">
                  <c:v>3.8541795788006983E-2</c:v>
                </c:pt>
                <c:pt idx="10">
                  <c:v>4.0006733461021772E-2</c:v>
                </c:pt>
                <c:pt idx="11">
                  <c:v>0.20613821588958223</c:v>
                </c:pt>
              </c:numCache>
            </c:numRef>
          </c:val>
        </c:ser>
        <c:ser>
          <c:idx val="2"/>
          <c:order val="2"/>
          <c:tx>
            <c:v>6 jam</c:v>
          </c:tx>
          <c:invertIfNegative val="0"/>
          <c:cat>
            <c:strRef>
              <c:f>'ID gr organ'!$B$21:$B$32</c:f>
              <c:strCache>
                <c:ptCount val="12"/>
                <c:pt idx="0">
                  <c:v>otot</c:v>
                </c:pt>
                <c:pt idx="1">
                  <c:v>tulang</c:v>
                </c:pt>
                <c:pt idx="2">
                  <c:v>darah </c:v>
                </c:pt>
                <c:pt idx="3">
                  <c:v>usus</c:v>
                </c:pt>
                <c:pt idx="4">
                  <c:v>hati</c:v>
                </c:pt>
                <c:pt idx="5">
                  <c:v>limpa</c:v>
                </c:pt>
                <c:pt idx="6">
                  <c:v>ginjal</c:v>
                </c:pt>
                <c:pt idx="7">
                  <c:v>jantung</c:v>
                </c:pt>
                <c:pt idx="8">
                  <c:v>paru-paru</c:v>
                </c:pt>
                <c:pt idx="9">
                  <c:v>otak</c:v>
                </c:pt>
                <c:pt idx="10">
                  <c:v>lambung</c:v>
                </c:pt>
                <c:pt idx="11">
                  <c:v>kandung kemih</c:v>
                </c:pt>
              </c:strCache>
            </c:strRef>
          </c:cat>
          <c:val>
            <c:numRef>
              <c:f>'ID gr organ'!$I$21:$I$32</c:f>
              <c:numCache>
                <c:formatCode>General</c:formatCode>
                <c:ptCount val="12"/>
                <c:pt idx="0">
                  <c:v>1.1012517141084139</c:v>
                </c:pt>
                <c:pt idx="1">
                  <c:v>30.314042974026517</c:v>
                </c:pt>
                <c:pt idx="2">
                  <c:v>0.42400844663089976</c:v>
                </c:pt>
                <c:pt idx="3">
                  <c:v>6.6768306968901625E-2</c:v>
                </c:pt>
                <c:pt idx="4">
                  <c:v>1.4502617575055352</c:v>
                </c:pt>
                <c:pt idx="5">
                  <c:v>7.1765680213363173E-2</c:v>
                </c:pt>
                <c:pt idx="6">
                  <c:v>0.23773318589177564</c:v>
                </c:pt>
                <c:pt idx="7">
                  <c:v>4.2550089770069126E-2</c:v>
                </c:pt>
                <c:pt idx="8">
                  <c:v>0.22845864003619196</c:v>
                </c:pt>
                <c:pt idx="9">
                  <c:v>1.4825070223404688E-2</c:v>
                </c:pt>
                <c:pt idx="10">
                  <c:v>3.1987387166270809E-2</c:v>
                </c:pt>
                <c:pt idx="11">
                  <c:v>1.6771082072288109E-2</c:v>
                </c:pt>
              </c:numCache>
            </c:numRef>
          </c:val>
        </c:ser>
        <c:ser>
          <c:idx val="3"/>
          <c:order val="3"/>
          <c:tx>
            <c:v>24 jam</c:v>
          </c:tx>
          <c:invertIfNegative val="0"/>
          <c:cat>
            <c:strRef>
              <c:f>'ID gr organ'!$B$21:$B$32</c:f>
              <c:strCache>
                <c:ptCount val="12"/>
                <c:pt idx="0">
                  <c:v>otot</c:v>
                </c:pt>
                <c:pt idx="1">
                  <c:v>tulang</c:v>
                </c:pt>
                <c:pt idx="2">
                  <c:v>darah </c:v>
                </c:pt>
                <c:pt idx="3">
                  <c:v>usus</c:v>
                </c:pt>
                <c:pt idx="4">
                  <c:v>hati</c:v>
                </c:pt>
                <c:pt idx="5">
                  <c:v>limpa</c:v>
                </c:pt>
                <c:pt idx="6">
                  <c:v>ginjal</c:v>
                </c:pt>
                <c:pt idx="7">
                  <c:v>jantung</c:v>
                </c:pt>
                <c:pt idx="8">
                  <c:v>paru-paru</c:v>
                </c:pt>
                <c:pt idx="9">
                  <c:v>otak</c:v>
                </c:pt>
                <c:pt idx="10">
                  <c:v>lambung</c:v>
                </c:pt>
                <c:pt idx="11">
                  <c:v>kandung kemih</c:v>
                </c:pt>
              </c:strCache>
            </c:strRef>
          </c:cat>
          <c:val>
            <c:numRef>
              <c:f>'ID gr organ'!$J$21:$J$32</c:f>
              <c:numCache>
                <c:formatCode>General</c:formatCode>
                <c:ptCount val="12"/>
                <c:pt idx="0">
                  <c:v>0.61017502728063777</c:v>
                </c:pt>
                <c:pt idx="1">
                  <c:v>14.46330779290802</c:v>
                </c:pt>
                <c:pt idx="2">
                  <c:v>0.13287889201395545</c:v>
                </c:pt>
                <c:pt idx="3">
                  <c:v>2.491597427827873E-2</c:v>
                </c:pt>
                <c:pt idx="4">
                  <c:v>0.58570087998559728</c:v>
                </c:pt>
                <c:pt idx="5">
                  <c:v>6.1923829097164151E-2</c:v>
                </c:pt>
                <c:pt idx="6">
                  <c:v>4.7028090704914649E-2</c:v>
                </c:pt>
                <c:pt idx="7">
                  <c:v>2.1928922297035938E-2</c:v>
                </c:pt>
                <c:pt idx="8">
                  <c:v>0.13580638313481622</c:v>
                </c:pt>
                <c:pt idx="9">
                  <c:v>5.0369822524533705E-3</c:v>
                </c:pt>
                <c:pt idx="10">
                  <c:v>2.2461011269406781E-2</c:v>
                </c:pt>
                <c:pt idx="11">
                  <c:v>5.5971036510814455E-2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96096"/>
        <c:axId val="98198272"/>
      </c:barChart>
      <c:catAx>
        <c:axId val="981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Organ pada</a:t>
                </a:r>
                <a:r>
                  <a:rPr lang="en-US" baseline="0">
                    <a:latin typeface="Times New Roman" pitchFamily="18" charset="0"/>
                    <a:cs typeface="Times New Roman" pitchFamily="18" charset="0"/>
                  </a:rPr>
                  <a:t> Manusia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8225770240258428"/>
              <c:y val="0.92896740081402873"/>
            </c:manualLayout>
          </c:layout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92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98198272"/>
        <c:crosses val="autoZero"/>
        <c:auto val="1"/>
        <c:lblAlgn val="ctr"/>
        <c:lblOffset val="100"/>
        <c:noMultiLvlLbl val="0"/>
      </c:catAx>
      <c:valAx>
        <c:axId val="981982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%ID/gram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981960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19365071673733"/>
          <c:y val="0.13993868157784625"/>
          <c:w val="8.9164062184534626E-2"/>
          <c:h val="0.26224808855414811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residence</a:t>
            </a:r>
            <a:r>
              <a:rPr lang="en-US" baseline="0"/>
              <a:t> time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RT human</c:v>
          </c:tx>
          <c:invertIfNegative val="0"/>
          <c:cat>
            <c:strRef>
              <c:f>'residence time'!$B$5:$B$15</c:f>
              <c:strCache>
                <c:ptCount val="11"/>
                <c:pt idx="0">
                  <c:v>otot</c:v>
                </c:pt>
                <c:pt idx="1">
                  <c:v>tulang</c:v>
                </c:pt>
                <c:pt idx="2">
                  <c:v>usus</c:v>
                </c:pt>
                <c:pt idx="3">
                  <c:v>hati</c:v>
                </c:pt>
                <c:pt idx="4">
                  <c:v>limpa</c:v>
                </c:pt>
                <c:pt idx="5">
                  <c:v>ginjal</c:v>
                </c:pt>
                <c:pt idx="6">
                  <c:v>jantung</c:v>
                </c:pt>
                <c:pt idx="7">
                  <c:v>paru-paru</c:v>
                </c:pt>
                <c:pt idx="8">
                  <c:v>otak</c:v>
                </c:pt>
                <c:pt idx="9">
                  <c:v>lambung</c:v>
                </c:pt>
                <c:pt idx="10">
                  <c:v>bladder</c:v>
                </c:pt>
              </c:strCache>
            </c:strRef>
          </c:cat>
          <c:val>
            <c:numRef>
              <c:f>'residence time'!$C$5:$C$15</c:f>
              <c:numCache>
                <c:formatCode>0.00E+00</c:formatCode>
                <c:ptCount val="11"/>
                <c:pt idx="0">
                  <c:v>0.106</c:v>
                </c:pt>
                <c:pt idx="1">
                  <c:v>2.73</c:v>
                </c:pt>
                <c:pt idx="2">
                  <c:v>8.6099999999999996E-3</c:v>
                </c:pt>
                <c:pt idx="3">
                  <c:v>0.158</c:v>
                </c:pt>
                <c:pt idx="4">
                  <c:v>7.1300000000000001E-3</c:v>
                </c:pt>
                <c:pt idx="5">
                  <c:v>3.09E-2</c:v>
                </c:pt>
                <c:pt idx="6">
                  <c:v>4.4400000000000004E-3</c:v>
                </c:pt>
                <c:pt idx="7">
                  <c:v>2.4500000000000001E-2</c:v>
                </c:pt>
                <c:pt idx="8">
                  <c:v>1.7799999999999999E-3</c:v>
                </c:pt>
                <c:pt idx="9">
                  <c:v>2.14E-3</c:v>
                </c:pt>
                <c:pt idx="10">
                  <c:v>7.9500000000000005E-3</c:v>
                </c:pt>
              </c:numCache>
            </c:numRef>
          </c:val>
        </c:ser>
        <c:ser>
          <c:idx val="1"/>
          <c:order val="1"/>
          <c:tx>
            <c:v>RT animal</c:v>
          </c:tx>
          <c:invertIfNegative val="0"/>
          <c:cat>
            <c:strRef>
              <c:f>'residence time'!$B$5:$B$15</c:f>
              <c:strCache>
                <c:ptCount val="11"/>
                <c:pt idx="0">
                  <c:v>otot</c:v>
                </c:pt>
                <c:pt idx="1">
                  <c:v>tulang</c:v>
                </c:pt>
                <c:pt idx="2">
                  <c:v>usus</c:v>
                </c:pt>
                <c:pt idx="3">
                  <c:v>hati</c:v>
                </c:pt>
                <c:pt idx="4">
                  <c:v>limpa</c:v>
                </c:pt>
                <c:pt idx="5">
                  <c:v>ginjal</c:v>
                </c:pt>
                <c:pt idx="6">
                  <c:v>jantung</c:v>
                </c:pt>
                <c:pt idx="7">
                  <c:v>paru-paru</c:v>
                </c:pt>
                <c:pt idx="8">
                  <c:v>otak</c:v>
                </c:pt>
                <c:pt idx="9">
                  <c:v>lambung</c:v>
                </c:pt>
                <c:pt idx="10">
                  <c:v>bladder</c:v>
                </c:pt>
              </c:strCache>
            </c:strRef>
          </c:cat>
          <c:val>
            <c:numRef>
              <c:f>'residence time'!$D$5:$D$15</c:f>
              <c:numCache>
                <c:formatCode>0.00E+00</c:formatCode>
                <c:ptCount val="11"/>
                <c:pt idx="0">
                  <c:v>8.5400000000000007E-3</c:v>
                </c:pt>
                <c:pt idx="1">
                  <c:v>1.25</c:v>
                </c:pt>
                <c:pt idx="2">
                  <c:v>1.9599999999999999E-2</c:v>
                </c:pt>
                <c:pt idx="3">
                  <c:v>0.16900000000000001</c:v>
                </c:pt>
                <c:pt idx="4">
                  <c:v>8.1000000000000003E-2</c:v>
                </c:pt>
                <c:pt idx="5">
                  <c:v>0.19400000000000001</c:v>
                </c:pt>
                <c:pt idx="6">
                  <c:v>2.7900000000000001E-2</c:v>
                </c:pt>
                <c:pt idx="7">
                  <c:v>5.6399999999999999E-2</c:v>
                </c:pt>
                <c:pt idx="8">
                  <c:v>2.47E-3</c:v>
                </c:pt>
                <c:pt idx="9">
                  <c:v>3.7400000000000003E-2</c:v>
                </c:pt>
                <c:pt idx="10">
                  <c:v>0.39800000000000002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69056"/>
        <c:axId val="98270592"/>
      </c:barChart>
      <c:catAx>
        <c:axId val="98269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8270592"/>
        <c:crosses val="autoZero"/>
        <c:auto val="1"/>
        <c:lblAlgn val="ctr"/>
        <c:lblOffset val="100"/>
        <c:noMultiLvlLbl val="0"/>
      </c:catAx>
      <c:valAx>
        <c:axId val="98270592"/>
        <c:scaling>
          <c:orientation val="minMax"/>
        </c:scaling>
        <c:delete val="0"/>
        <c:axPos val="l"/>
        <c:majorGridlines/>
        <c:numFmt formatCode="0.00E+00" sourceLinked="1"/>
        <c:majorTickMark val="none"/>
        <c:minorTickMark val="none"/>
        <c:tickLblPos val="nextTo"/>
        <c:crossAx val="98269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estimasi</a:t>
            </a:r>
            <a:r>
              <a:rPr lang="en-US" baseline="0"/>
              <a:t> dosis hewan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</c:v>
          </c:tx>
          <c:invertIfNegative val="0"/>
          <c:cat>
            <c:strRef>
              <c:f>'estimasi dosis hewan'!$B$7:$B$30</c:f>
              <c:strCache>
                <c:ptCount val="24"/>
                <c:pt idx="0">
                  <c:v>Adrenals</c:v>
                </c:pt>
                <c:pt idx="1">
                  <c:v>Brain</c:v>
                </c:pt>
                <c:pt idx="2">
                  <c:v>Breasts</c:v>
                </c:pt>
                <c:pt idx="3">
                  <c:v>Gallbladder Wall</c:v>
                </c:pt>
                <c:pt idx="4">
                  <c:v>LLI Wall</c:v>
                </c:pt>
                <c:pt idx="5">
                  <c:v>Small Intestine</c:v>
                </c:pt>
                <c:pt idx="6">
                  <c:v>Stomach Wall</c:v>
                </c:pt>
                <c:pt idx="7">
                  <c:v>ULI Wall</c:v>
                </c:pt>
                <c:pt idx="8">
                  <c:v>Heart Wall</c:v>
                </c:pt>
                <c:pt idx="9">
                  <c:v>Kidneys</c:v>
                </c:pt>
                <c:pt idx="10">
                  <c:v>Liver</c:v>
                </c:pt>
                <c:pt idx="11">
                  <c:v>Lungs</c:v>
                </c:pt>
                <c:pt idx="12">
                  <c:v>Muscle</c:v>
                </c:pt>
                <c:pt idx="13">
                  <c:v>Ovaries</c:v>
                </c:pt>
                <c:pt idx="14">
                  <c:v>Pancreas</c:v>
                </c:pt>
                <c:pt idx="15">
                  <c:v>Red Marrow</c:v>
                </c:pt>
                <c:pt idx="16">
                  <c:v>Osteogenic Cells</c:v>
                </c:pt>
                <c:pt idx="17">
                  <c:v>Skin</c:v>
                </c:pt>
                <c:pt idx="18">
                  <c:v>Spleen</c:v>
                </c:pt>
                <c:pt idx="19">
                  <c:v>Testes</c:v>
                </c:pt>
                <c:pt idx="20">
                  <c:v>Thymus</c:v>
                </c:pt>
                <c:pt idx="21">
                  <c:v>Thyroid</c:v>
                </c:pt>
                <c:pt idx="22">
                  <c:v>Urinary Bladder Wall</c:v>
                </c:pt>
                <c:pt idx="23">
                  <c:v>Uterus</c:v>
                </c:pt>
              </c:strCache>
            </c:strRef>
          </c:cat>
          <c:val>
            <c:numRef>
              <c:f>'estimasi dosis hewan'!$O$7:$O$29</c:f>
              <c:numCache>
                <c:formatCode>0.00E+00</c:formatCode>
                <c:ptCount val="23"/>
                <c:pt idx="0">
                  <c:v>2.5899999999999999E-3</c:v>
                </c:pt>
                <c:pt idx="1">
                  <c:v>1.32E-3</c:v>
                </c:pt>
                <c:pt idx="2">
                  <c:v>5.6099999999999998E-4</c:v>
                </c:pt>
                <c:pt idx="3">
                  <c:v>1.6999999999999999E-3</c:v>
                </c:pt>
                <c:pt idx="4">
                  <c:v>2.8999999999999998E-3</c:v>
                </c:pt>
                <c:pt idx="5">
                  <c:v>1.48E-3</c:v>
                </c:pt>
                <c:pt idx="6">
                  <c:v>2.5600000000000002E-3</c:v>
                </c:pt>
                <c:pt idx="7">
                  <c:v>1.32E-3</c:v>
                </c:pt>
                <c:pt idx="8">
                  <c:v>3.2799999999999999E-3</c:v>
                </c:pt>
                <c:pt idx="9">
                  <c:v>1.14E-2</c:v>
                </c:pt>
                <c:pt idx="10">
                  <c:v>3.46E-3</c:v>
                </c:pt>
                <c:pt idx="11">
                  <c:v>2.14E-3</c:v>
                </c:pt>
                <c:pt idx="12">
                  <c:v>1.31E-3</c:v>
                </c:pt>
                <c:pt idx="13">
                  <c:v>1.98E-3</c:v>
                </c:pt>
                <c:pt idx="14">
                  <c:v>2.2699999999999999E-3</c:v>
                </c:pt>
                <c:pt idx="15">
                  <c:v>4.7000000000000002E-3</c:v>
                </c:pt>
                <c:pt idx="16">
                  <c:v>3.5200000000000002E-2</c:v>
                </c:pt>
                <c:pt idx="17">
                  <c:v>7.0699999999999995E-4</c:v>
                </c:pt>
                <c:pt idx="18">
                  <c:v>9.2399999999999999E-3</c:v>
                </c:pt>
                <c:pt idx="19">
                  <c:v>8.6700000000000004E-4</c:v>
                </c:pt>
                <c:pt idx="20">
                  <c:v>8.3600000000000005E-4</c:v>
                </c:pt>
                <c:pt idx="21">
                  <c:v>2.3699999999999999E-2</c:v>
                </c:pt>
                <c:pt idx="22">
                  <c:v>2.8600000000000001E-3</c:v>
                </c:pt>
              </c:numCache>
            </c:numRef>
          </c:val>
        </c:ser>
        <c:ser>
          <c:idx val="1"/>
          <c:order val="1"/>
          <c:tx>
            <c:v>male</c:v>
          </c:tx>
          <c:invertIfNegative val="0"/>
          <c:cat>
            <c:strRef>
              <c:f>'estimasi dosis hewan'!$B$7:$B$30</c:f>
              <c:strCache>
                <c:ptCount val="24"/>
                <c:pt idx="0">
                  <c:v>Adrenals</c:v>
                </c:pt>
                <c:pt idx="1">
                  <c:v>Brain</c:v>
                </c:pt>
                <c:pt idx="2">
                  <c:v>Breasts</c:v>
                </c:pt>
                <c:pt idx="3">
                  <c:v>Gallbladder Wall</c:v>
                </c:pt>
                <c:pt idx="4">
                  <c:v>LLI Wall</c:v>
                </c:pt>
                <c:pt idx="5">
                  <c:v>Small Intestine</c:v>
                </c:pt>
                <c:pt idx="6">
                  <c:v>Stomach Wall</c:v>
                </c:pt>
                <c:pt idx="7">
                  <c:v>ULI Wall</c:v>
                </c:pt>
                <c:pt idx="8">
                  <c:v>Heart Wall</c:v>
                </c:pt>
                <c:pt idx="9">
                  <c:v>Kidneys</c:v>
                </c:pt>
                <c:pt idx="10">
                  <c:v>Liver</c:v>
                </c:pt>
                <c:pt idx="11">
                  <c:v>Lungs</c:v>
                </c:pt>
                <c:pt idx="12">
                  <c:v>Muscle</c:v>
                </c:pt>
                <c:pt idx="13">
                  <c:v>Ovaries</c:v>
                </c:pt>
                <c:pt idx="14">
                  <c:v>Pancreas</c:v>
                </c:pt>
                <c:pt idx="15">
                  <c:v>Red Marrow</c:v>
                </c:pt>
                <c:pt idx="16">
                  <c:v>Osteogenic Cells</c:v>
                </c:pt>
                <c:pt idx="17">
                  <c:v>Skin</c:v>
                </c:pt>
                <c:pt idx="18">
                  <c:v>Spleen</c:v>
                </c:pt>
                <c:pt idx="19">
                  <c:v>Testes</c:v>
                </c:pt>
                <c:pt idx="20">
                  <c:v>Thymus</c:v>
                </c:pt>
                <c:pt idx="21">
                  <c:v>Thyroid</c:v>
                </c:pt>
                <c:pt idx="22">
                  <c:v>Urinary Bladder Wall</c:v>
                </c:pt>
                <c:pt idx="23">
                  <c:v>Uterus</c:v>
                </c:pt>
              </c:strCache>
            </c:strRef>
          </c:cat>
          <c:val>
            <c:numRef>
              <c:f>'estimasi dosis hewan'!$F$7:$F$30</c:f>
              <c:numCache>
                <c:formatCode>0.00E+00</c:formatCode>
                <c:ptCount val="24"/>
                <c:pt idx="0">
                  <c:v>2.0200000000000001E-3</c:v>
                </c:pt>
                <c:pt idx="1">
                  <c:v>1.1000000000000001E-3</c:v>
                </c:pt>
                <c:pt idx="2">
                  <c:v>4.5600000000000003E-4</c:v>
                </c:pt>
                <c:pt idx="3">
                  <c:v>1.39E-3</c:v>
                </c:pt>
                <c:pt idx="4">
                  <c:v>2.4299999999999999E-3</c:v>
                </c:pt>
                <c:pt idx="5">
                  <c:v>1.1800000000000001E-3</c:v>
                </c:pt>
                <c:pt idx="6">
                  <c:v>2.0999999999999999E-3</c:v>
                </c:pt>
                <c:pt idx="7">
                  <c:v>1.0499999999999999E-3</c:v>
                </c:pt>
                <c:pt idx="8">
                  <c:v>2.64E-3</c:v>
                </c:pt>
                <c:pt idx="9">
                  <c:v>1.03E-2</c:v>
                </c:pt>
                <c:pt idx="10">
                  <c:v>2.7100000000000002E-3</c:v>
                </c:pt>
                <c:pt idx="11">
                  <c:v>1.66E-3</c:v>
                </c:pt>
                <c:pt idx="12">
                  <c:v>1.07E-3</c:v>
                </c:pt>
                <c:pt idx="13">
                  <c:v>1.5499999999999999E-3</c:v>
                </c:pt>
                <c:pt idx="14">
                  <c:v>1.8400000000000001E-3</c:v>
                </c:pt>
                <c:pt idx="15">
                  <c:v>4.1599999999999996E-3</c:v>
                </c:pt>
                <c:pt idx="16">
                  <c:v>2.69E-2</c:v>
                </c:pt>
                <c:pt idx="17">
                  <c:v>5.6099999999999998E-4</c:v>
                </c:pt>
                <c:pt idx="18">
                  <c:v>7.6899999999999998E-3</c:v>
                </c:pt>
                <c:pt idx="19">
                  <c:v>9.2100000000000005E-4</c:v>
                </c:pt>
                <c:pt idx="20">
                  <c:v>7.2400000000000003E-4</c:v>
                </c:pt>
                <c:pt idx="21">
                  <c:v>7.3200000000000001E-4</c:v>
                </c:pt>
                <c:pt idx="22">
                  <c:v>1.6299999999999999E-2</c:v>
                </c:pt>
                <c:pt idx="23">
                  <c:v>2.3400000000000001E-3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71616"/>
        <c:axId val="100273152"/>
      </c:barChart>
      <c:catAx>
        <c:axId val="1002716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273152"/>
        <c:crosses val="autoZero"/>
        <c:auto val="1"/>
        <c:lblAlgn val="ctr"/>
        <c:lblOffset val="100"/>
        <c:noMultiLvlLbl val="0"/>
      </c:catAx>
      <c:valAx>
        <c:axId val="100273152"/>
        <c:scaling>
          <c:orientation val="minMax"/>
        </c:scaling>
        <c:delete val="0"/>
        <c:axPos val="l"/>
        <c:majorGridlines/>
        <c:numFmt formatCode="0.00E+00" sourceLinked="1"/>
        <c:majorTickMark val="none"/>
        <c:minorTickMark val="none"/>
        <c:tickLblPos val="nextTo"/>
        <c:crossAx val="100271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Estimasi</a:t>
            </a:r>
            <a:r>
              <a:rPr lang="en-US" baseline="0"/>
              <a:t> dosis pada manusia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male human </c:v>
          </c:tx>
          <c:invertIfNegative val="0"/>
          <c:cat>
            <c:strRef>
              <c:f>'estimasi dosis manusia'!$K$7:$K$29</c:f>
              <c:strCache>
                <c:ptCount val="23"/>
                <c:pt idx="0">
                  <c:v>Adrenals</c:v>
                </c:pt>
                <c:pt idx="1">
                  <c:v>Brain</c:v>
                </c:pt>
                <c:pt idx="2">
                  <c:v>Breasts</c:v>
                </c:pt>
                <c:pt idx="3">
                  <c:v>Gallbladder Wall</c:v>
                </c:pt>
                <c:pt idx="4">
                  <c:v>LLI Wall</c:v>
                </c:pt>
                <c:pt idx="5">
                  <c:v>Small Intestine</c:v>
                </c:pt>
                <c:pt idx="6">
                  <c:v>Stomach Wall</c:v>
                </c:pt>
                <c:pt idx="7">
                  <c:v>ULI Wall</c:v>
                </c:pt>
                <c:pt idx="8">
                  <c:v>Heart Wall</c:v>
                </c:pt>
                <c:pt idx="9">
                  <c:v>Kidneys</c:v>
                </c:pt>
                <c:pt idx="10">
                  <c:v>Liver</c:v>
                </c:pt>
                <c:pt idx="11">
                  <c:v>Lungs</c:v>
                </c:pt>
                <c:pt idx="12">
                  <c:v>Muscle</c:v>
                </c:pt>
                <c:pt idx="13">
                  <c:v>Ovaries</c:v>
                </c:pt>
                <c:pt idx="14">
                  <c:v>Pancreas</c:v>
                </c:pt>
                <c:pt idx="15">
                  <c:v>Red Marrow</c:v>
                </c:pt>
                <c:pt idx="16">
                  <c:v>Osteogenic Cells</c:v>
                </c:pt>
                <c:pt idx="17">
                  <c:v>Skin</c:v>
                </c:pt>
                <c:pt idx="18">
                  <c:v>Spleen</c:v>
                </c:pt>
                <c:pt idx="19">
                  <c:v>Thymus</c:v>
                </c:pt>
                <c:pt idx="20">
                  <c:v>Thyroid</c:v>
                </c:pt>
                <c:pt idx="21">
                  <c:v>Urinary Bladder Wall</c:v>
                </c:pt>
                <c:pt idx="22">
                  <c:v>Uterus</c:v>
                </c:pt>
              </c:strCache>
            </c:strRef>
          </c:cat>
          <c:val>
            <c:numRef>
              <c:f>'estimasi dosis manusia'!$H$7:$H$30</c:f>
              <c:numCache>
                <c:formatCode>0.00E+00</c:formatCode>
                <c:ptCount val="24"/>
                <c:pt idx="0">
                  <c:v>7.2899999999999997E-6</c:v>
                </c:pt>
                <c:pt idx="1">
                  <c:v>5.9399999999999999E-6</c:v>
                </c:pt>
                <c:pt idx="2">
                  <c:v>1.9400000000000001E-5</c:v>
                </c:pt>
                <c:pt idx="3">
                  <c:v>0</c:v>
                </c:pt>
                <c:pt idx="4">
                  <c:v>1.4100000000000001E-4</c:v>
                </c:pt>
                <c:pt idx="5">
                  <c:v>3.6600000000000001E-6</c:v>
                </c:pt>
                <c:pt idx="6">
                  <c:v>7.7000000000000001E-5</c:v>
                </c:pt>
                <c:pt idx="7">
                  <c:v>3.4400000000000001E-6</c:v>
                </c:pt>
                <c:pt idx="8">
                  <c:v>0</c:v>
                </c:pt>
                <c:pt idx="9">
                  <c:v>1.1600000000000001E-5</c:v>
                </c:pt>
                <c:pt idx="10">
                  <c:v>1.18E-4</c:v>
                </c:pt>
                <c:pt idx="11">
                  <c:v>1.37E-4</c:v>
                </c:pt>
                <c:pt idx="12">
                  <c:v>4.4000000000000002E-6</c:v>
                </c:pt>
                <c:pt idx="13">
                  <c:v>1.5699999999999999E-4</c:v>
                </c:pt>
                <c:pt idx="14">
                  <c:v>5.1499999999999998E-6</c:v>
                </c:pt>
                <c:pt idx="15">
                  <c:v>7.6800000000000002E-4</c:v>
                </c:pt>
                <c:pt idx="16">
                  <c:v>3.1199999999999999E-4</c:v>
                </c:pt>
                <c:pt idx="17">
                  <c:v>5.1499999999999998E-6</c:v>
                </c:pt>
                <c:pt idx="18">
                  <c:v>6.2099999999999998E-6</c:v>
                </c:pt>
                <c:pt idx="19">
                  <c:v>0</c:v>
                </c:pt>
                <c:pt idx="20">
                  <c:v>2.9399999999999998E-6</c:v>
                </c:pt>
                <c:pt idx="21">
                  <c:v>4.0599999999999998E-5</c:v>
                </c:pt>
                <c:pt idx="22">
                  <c:v>3.9400000000000002E-5</c:v>
                </c:pt>
                <c:pt idx="23">
                  <c:v>3.0699999999999998E-6</c:v>
                </c:pt>
              </c:numCache>
            </c:numRef>
          </c:val>
        </c:ser>
        <c:ser>
          <c:idx val="1"/>
          <c:order val="1"/>
          <c:tx>
            <c:v>female human</c:v>
          </c:tx>
          <c:invertIfNegative val="0"/>
          <c:cat>
            <c:strRef>
              <c:f>'estimasi dosis manusia'!$K$7:$K$29</c:f>
              <c:strCache>
                <c:ptCount val="23"/>
                <c:pt idx="0">
                  <c:v>Adrenals</c:v>
                </c:pt>
                <c:pt idx="1">
                  <c:v>Brain</c:v>
                </c:pt>
                <c:pt idx="2">
                  <c:v>Breasts</c:v>
                </c:pt>
                <c:pt idx="3">
                  <c:v>Gallbladder Wall</c:v>
                </c:pt>
                <c:pt idx="4">
                  <c:v>LLI Wall</c:v>
                </c:pt>
                <c:pt idx="5">
                  <c:v>Small Intestine</c:v>
                </c:pt>
                <c:pt idx="6">
                  <c:v>Stomach Wall</c:v>
                </c:pt>
                <c:pt idx="7">
                  <c:v>ULI Wall</c:v>
                </c:pt>
                <c:pt idx="8">
                  <c:v>Heart Wall</c:v>
                </c:pt>
                <c:pt idx="9">
                  <c:v>Kidneys</c:v>
                </c:pt>
                <c:pt idx="10">
                  <c:v>Liver</c:v>
                </c:pt>
                <c:pt idx="11">
                  <c:v>Lungs</c:v>
                </c:pt>
                <c:pt idx="12">
                  <c:v>Muscle</c:v>
                </c:pt>
                <c:pt idx="13">
                  <c:v>Ovaries</c:v>
                </c:pt>
                <c:pt idx="14">
                  <c:v>Pancreas</c:v>
                </c:pt>
                <c:pt idx="15">
                  <c:v>Red Marrow</c:v>
                </c:pt>
                <c:pt idx="16">
                  <c:v>Osteogenic Cells</c:v>
                </c:pt>
                <c:pt idx="17">
                  <c:v>Skin</c:v>
                </c:pt>
                <c:pt idx="18">
                  <c:v>Spleen</c:v>
                </c:pt>
                <c:pt idx="19">
                  <c:v>Thymus</c:v>
                </c:pt>
                <c:pt idx="20">
                  <c:v>Thyroid</c:v>
                </c:pt>
                <c:pt idx="21">
                  <c:v>Urinary Bladder Wall</c:v>
                </c:pt>
                <c:pt idx="22">
                  <c:v>Uterus</c:v>
                </c:pt>
              </c:strCache>
            </c:strRef>
          </c:cat>
          <c:val>
            <c:numRef>
              <c:f>'estimasi dosis manusia'!$Q$7:$Q$29</c:f>
              <c:numCache>
                <c:formatCode>0.00E+00</c:formatCode>
                <c:ptCount val="23"/>
                <c:pt idx="0">
                  <c:v>9.2099999999999999E-6</c:v>
                </c:pt>
                <c:pt idx="1">
                  <c:v>7.1400000000000002E-6</c:v>
                </c:pt>
                <c:pt idx="2">
                  <c:v>2.4000000000000001E-5</c:v>
                </c:pt>
                <c:pt idx="3">
                  <c:v>0</c:v>
                </c:pt>
                <c:pt idx="4">
                  <c:v>1.7000000000000001E-4</c:v>
                </c:pt>
                <c:pt idx="5">
                  <c:v>4.5900000000000001E-6</c:v>
                </c:pt>
                <c:pt idx="6">
                  <c:v>1.0399999999999999E-4</c:v>
                </c:pt>
                <c:pt idx="7">
                  <c:v>4.1699999999999999E-6</c:v>
                </c:pt>
                <c:pt idx="8">
                  <c:v>0</c:v>
                </c:pt>
                <c:pt idx="9">
                  <c:v>1.36E-5</c:v>
                </c:pt>
                <c:pt idx="10">
                  <c:v>1.5100000000000001E-4</c:v>
                </c:pt>
                <c:pt idx="11">
                  <c:v>1.7699999999999999E-4</c:v>
                </c:pt>
                <c:pt idx="12">
                  <c:v>5.4399999999999996E-6</c:v>
                </c:pt>
                <c:pt idx="13">
                  <c:v>1.9699999999999999E-4</c:v>
                </c:pt>
                <c:pt idx="14">
                  <c:v>6.4500000000000001E-6</c:v>
                </c:pt>
                <c:pt idx="15">
                  <c:v>8.4199999999999998E-4</c:v>
                </c:pt>
                <c:pt idx="16">
                  <c:v>4.08E-4</c:v>
                </c:pt>
                <c:pt idx="17">
                  <c:v>6.5100000000000004E-6</c:v>
                </c:pt>
                <c:pt idx="18">
                  <c:v>7.8299999999999996E-6</c:v>
                </c:pt>
                <c:pt idx="19">
                  <c:v>3.63E-6</c:v>
                </c:pt>
                <c:pt idx="20">
                  <c:v>4.57E-5</c:v>
                </c:pt>
                <c:pt idx="21">
                  <c:v>5.5000000000000002E-5</c:v>
                </c:pt>
                <c:pt idx="22">
                  <c:v>3.9400000000000004E-6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09728"/>
        <c:axId val="100411264"/>
      </c:barChart>
      <c:catAx>
        <c:axId val="10040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411264"/>
        <c:crosses val="autoZero"/>
        <c:auto val="1"/>
        <c:lblAlgn val="ctr"/>
        <c:lblOffset val="100"/>
        <c:noMultiLvlLbl val="0"/>
      </c:catAx>
      <c:valAx>
        <c:axId val="100411264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0409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</c:v>
          </c:tx>
          <c:invertIfNegative val="0"/>
          <c:cat>
            <c:strRef>
              <c:f>'estimasi dosis manusia'!$B$7:$B$31</c:f>
              <c:strCache>
                <c:ptCount val="25"/>
                <c:pt idx="0">
                  <c:v>Adrenals</c:v>
                </c:pt>
                <c:pt idx="1">
                  <c:v>Brain</c:v>
                </c:pt>
                <c:pt idx="2">
                  <c:v>Breasts</c:v>
                </c:pt>
                <c:pt idx="3">
                  <c:v>Gallbladder Wall</c:v>
                </c:pt>
                <c:pt idx="4">
                  <c:v>LLI Wall</c:v>
                </c:pt>
                <c:pt idx="5">
                  <c:v>Small Intestine</c:v>
                </c:pt>
                <c:pt idx="6">
                  <c:v>Stomach Wall</c:v>
                </c:pt>
                <c:pt idx="7">
                  <c:v>ULI Wall</c:v>
                </c:pt>
                <c:pt idx="8">
                  <c:v>Heart Wall</c:v>
                </c:pt>
                <c:pt idx="9">
                  <c:v>Kidneys</c:v>
                </c:pt>
                <c:pt idx="10">
                  <c:v>Liver</c:v>
                </c:pt>
                <c:pt idx="11">
                  <c:v>Lungs</c:v>
                </c:pt>
                <c:pt idx="12">
                  <c:v>Muscle</c:v>
                </c:pt>
                <c:pt idx="13">
                  <c:v>Ovaries</c:v>
                </c:pt>
                <c:pt idx="14">
                  <c:v>Pancreas</c:v>
                </c:pt>
                <c:pt idx="15">
                  <c:v>Red Marrow</c:v>
                </c:pt>
                <c:pt idx="16">
                  <c:v>Osteogenic Cells</c:v>
                </c:pt>
                <c:pt idx="17">
                  <c:v>Skin</c:v>
                </c:pt>
                <c:pt idx="18">
                  <c:v>Spleen</c:v>
                </c:pt>
                <c:pt idx="19">
                  <c:v>Testes</c:v>
                </c:pt>
                <c:pt idx="20">
                  <c:v>Thymus</c:v>
                </c:pt>
                <c:pt idx="21">
                  <c:v>Thyroid</c:v>
                </c:pt>
                <c:pt idx="22">
                  <c:v>Urinary Bladder Wall</c:v>
                </c:pt>
                <c:pt idx="23">
                  <c:v>Uterus</c:v>
                </c:pt>
                <c:pt idx="24">
                  <c:v>Total Body</c:v>
                </c:pt>
              </c:strCache>
            </c:strRef>
          </c:cat>
          <c:val>
            <c:numRef>
              <c:f>'estimasi dosis manusia'!$O$7:$O$30</c:f>
              <c:numCache>
                <c:formatCode>0.00E+00</c:formatCode>
                <c:ptCount val="24"/>
                <c:pt idx="0">
                  <c:v>1.8400000000000001E-3</c:v>
                </c:pt>
                <c:pt idx="1">
                  <c:v>1.4300000000000001E-3</c:v>
                </c:pt>
                <c:pt idx="2">
                  <c:v>4.7899999999999999E-4</c:v>
                </c:pt>
                <c:pt idx="3">
                  <c:v>1.25E-3</c:v>
                </c:pt>
                <c:pt idx="4">
                  <c:v>1.41E-3</c:v>
                </c:pt>
                <c:pt idx="5">
                  <c:v>9.1799999999999998E-4</c:v>
                </c:pt>
                <c:pt idx="6">
                  <c:v>8.6300000000000005E-4</c:v>
                </c:pt>
                <c:pt idx="7">
                  <c:v>8.34E-4</c:v>
                </c:pt>
                <c:pt idx="8">
                  <c:v>1.2199999999999999E-3</c:v>
                </c:pt>
                <c:pt idx="9">
                  <c:v>2.7100000000000002E-3</c:v>
                </c:pt>
                <c:pt idx="10">
                  <c:v>3.0100000000000001E-3</c:v>
                </c:pt>
                <c:pt idx="11">
                  <c:v>1.47E-3</c:v>
                </c:pt>
                <c:pt idx="12">
                  <c:v>1.09E-3</c:v>
                </c:pt>
                <c:pt idx="13">
                  <c:v>9.8700000000000003E-4</c:v>
                </c:pt>
                <c:pt idx="14">
                  <c:v>1.2899999999999999E-3</c:v>
                </c:pt>
                <c:pt idx="15">
                  <c:v>7.0099999999999997E-3</c:v>
                </c:pt>
                <c:pt idx="16">
                  <c:v>4.0800000000000003E-2</c:v>
                </c:pt>
                <c:pt idx="17">
                  <c:v>6.5099999999999999E-4</c:v>
                </c:pt>
                <c:pt idx="18">
                  <c:v>1.57E-3</c:v>
                </c:pt>
                <c:pt idx="19">
                  <c:v>7.2599999999999997E-4</c:v>
                </c:pt>
                <c:pt idx="20">
                  <c:v>9.1500000000000001E-4</c:v>
                </c:pt>
                <c:pt idx="21">
                  <c:v>1.1000000000000001E-3</c:v>
                </c:pt>
                <c:pt idx="22">
                  <c:v>7.8799999999999996E-4</c:v>
                </c:pt>
                <c:pt idx="23">
                  <c:v>1.9300000000000001E-3</c:v>
                </c:pt>
              </c:numCache>
            </c:numRef>
          </c:val>
        </c:ser>
        <c:ser>
          <c:idx val="1"/>
          <c:order val="1"/>
          <c:tx>
            <c:v>male</c:v>
          </c:tx>
          <c:invertIfNegative val="0"/>
          <c:cat>
            <c:strRef>
              <c:f>'estimasi dosis manusia'!$B$7:$B$31</c:f>
              <c:strCache>
                <c:ptCount val="25"/>
                <c:pt idx="0">
                  <c:v>Adrenals</c:v>
                </c:pt>
                <c:pt idx="1">
                  <c:v>Brain</c:v>
                </c:pt>
                <c:pt idx="2">
                  <c:v>Breasts</c:v>
                </c:pt>
                <c:pt idx="3">
                  <c:v>Gallbladder Wall</c:v>
                </c:pt>
                <c:pt idx="4">
                  <c:v>LLI Wall</c:v>
                </c:pt>
                <c:pt idx="5">
                  <c:v>Small Intestine</c:v>
                </c:pt>
                <c:pt idx="6">
                  <c:v>Stomach Wall</c:v>
                </c:pt>
                <c:pt idx="7">
                  <c:v>ULI Wall</c:v>
                </c:pt>
                <c:pt idx="8">
                  <c:v>Heart Wall</c:v>
                </c:pt>
                <c:pt idx="9">
                  <c:v>Kidneys</c:v>
                </c:pt>
                <c:pt idx="10">
                  <c:v>Liver</c:v>
                </c:pt>
                <c:pt idx="11">
                  <c:v>Lungs</c:v>
                </c:pt>
                <c:pt idx="12">
                  <c:v>Muscle</c:v>
                </c:pt>
                <c:pt idx="13">
                  <c:v>Ovaries</c:v>
                </c:pt>
                <c:pt idx="14">
                  <c:v>Pancreas</c:v>
                </c:pt>
                <c:pt idx="15">
                  <c:v>Red Marrow</c:v>
                </c:pt>
                <c:pt idx="16">
                  <c:v>Osteogenic Cells</c:v>
                </c:pt>
                <c:pt idx="17">
                  <c:v>Skin</c:v>
                </c:pt>
                <c:pt idx="18">
                  <c:v>Spleen</c:v>
                </c:pt>
                <c:pt idx="19">
                  <c:v>Testes</c:v>
                </c:pt>
                <c:pt idx="20">
                  <c:v>Thymus</c:v>
                </c:pt>
                <c:pt idx="21">
                  <c:v>Thyroid</c:v>
                </c:pt>
                <c:pt idx="22">
                  <c:v>Urinary Bladder Wall</c:v>
                </c:pt>
                <c:pt idx="23">
                  <c:v>Uterus</c:v>
                </c:pt>
                <c:pt idx="24">
                  <c:v>Total Body</c:v>
                </c:pt>
              </c:strCache>
            </c:strRef>
          </c:cat>
          <c:val>
            <c:numRef>
              <c:f>'estimasi dosis manusia'!$F$7:$F$31</c:f>
              <c:numCache>
                <c:formatCode>0.00E+00</c:formatCode>
                <c:ptCount val="25"/>
                <c:pt idx="0">
                  <c:v>1.4599999999999999E-3</c:v>
                </c:pt>
                <c:pt idx="1">
                  <c:v>1.1900000000000001E-3</c:v>
                </c:pt>
                <c:pt idx="2">
                  <c:v>3.8900000000000002E-4</c:v>
                </c:pt>
                <c:pt idx="3">
                  <c:v>1.0399999999999999E-3</c:v>
                </c:pt>
                <c:pt idx="4">
                  <c:v>1.1800000000000001E-3</c:v>
                </c:pt>
                <c:pt idx="5">
                  <c:v>7.3099999999999999E-4</c:v>
                </c:pt>
                <c:pt idx="6">
                  <c:v>6.4099999999999997E-4</c:v>
                </c:pt>
                <c:pt idx="7">
                  <c:v>6.87E-4</c:v>
                </c:pt>
                <c:pt idx="8">
                  <c:v>9.7599999999999998E-4</c:v>
                </c:pt>
                <c:pt idx="9">
                  <c:v>2.32E-3</c:v>
                </c:pt>
                <c:pt idx="10">
                  <c:v>2.3600000000000001E-3</c:v>
                </c:pt>
                <c:pt idx="11">
                  <c:v>1.14E-3</c:v>
                </c:pt>
                <c:pt idx="12">
                  <c:v>8.8000000000000003E-4</c:v>
                </c:pt>
                <c:pt idx="13">
                  <c:v>7.8399999999999997E-4</c:v>
                </c:pt>
                <c:pt idx="14">
                  <c:v>1.0300000000000001E-3</c:v>
                </c:pt>
                <c:pt idx="15">
                  <c:v>6.4000000000000003E-3</c:v>
                </c:pt>
                <c:pt idx="16">
                  <c:v>3.1199999999999999E-2</c:v>
                </c:pt>
                <c:pt idx="17">
                  <c:v>5.1500000000000005E-4</c:v>
                </c:pt>
                <c:pt idx="18">
                  <c:v>1.24E-3</c:v>
                </c:pt>
                <c:pt idx="19">
                  <c:v>4.5600000000000003E-4</c:v>
                </c:pt>
                <c:pt idx="20">
                  <c:v>5.8900000000000001E-4</c:v>
                </c:pt>
                <c:pt idx="21">
                  <c:v>8.1300000000000003E-4</c:v>
                </c:pt>
                <c:pt idx="22">
                  <c:v>7.8799999999999996E-4</c:v>
                </c:pt>
                <c:pt idx="23">
                  <c:v>6.1399999999999996E-4</c:v>
                </c:pt>
                <c:pt idx="24">
                  <c:v>1.57E-3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60800"/>
        <c:axId val="100462592"/>
      </c:barChart>
      <c:catAx>
        <c:axId val="100460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462592"/>
        <c:crosses val="autoZero"/>
        <c:auto val="1"/>
        <c:lblAlgn val="ctr"/>
        <c:lblOffset val="100"/>
        <c:noMultiLvlLbl val="0"/>
      </c:catAx>
      <c:valAx>
        <c:axId val="100462592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0460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382015913721"/>
          <c:y val="4.5201090709288017E-2"/>
          <c:w val="0.81517805970093049"/>
          <c:h val="0.66973442011028905"/>
        </c:manualLayout>
      </c:layout>
      <c:barChart>
        <c:barDir val="col"/>
        <c:grouping val="clustered"/>
        <c:varyColors val="0"/>
        <c:ser>
          <c:idx val="0"/>
          <c:order val="0"/>
          <c:tx>
            <c:v>laki-laki</c:v>
          </c:tx>
          <c:invertIfNegative val="0"/>
          <c:cat>
            <c:strRef>
              <c:f>'estimasi dosis manusia'!$S$9:$S$26</c:f>
              <c:strCache>
                <c:ptCount val="18"/>
                <c:pt idx="0">
                  <c:v>sumsum merah</c:v>
                </c:pt>
                <c:pt idx="1">
                  <c:v>sel osteogenik</c:v>
                </c:pt>
                <c:pt idx="2">
                  <c:v>paru paru</c:v>
                </c:pt>
                <c:pt idx="3">
                  <c:v>usus</c:v>
                </c:pt>
                <c:pt idx="4">
                  <c:v>hati</c:v>
                </c:pt>
                <c:pt idx="5">
                  <c:v>lambung</c:v>
                </c:pt>
                <c:pt idx="6">
                  <c:v>kandung kemih</c:v>
                </c:pt>
                <c:pt idx="7">
                  <c:v>tyroid</c:v>
                </c:pt>
                <c:pt idx="8">
                  <c:v>ginjal</c:v>
                </c:pt>
                <c:pt idx="9">
                  <c:v>kelenjar adrenal</c:v>
                </c:pt>
                <c:pt idx="10">
                  <c:v>limpa</c:v>
                </c:pt>
                <c:pt idx="11">
                  <c:v>otak</c:v>
                </c:pt>
                <c:pt idx="12">
                  <c:v>kulit</c:v>
                </c:pt>
                <c:pt idx="13">
                  <c:v>pankreas</c:v>
                </c:pt>
                <c:pt idx="14">
                  <c:v>otot</c:v>
                </c:pt>
                <c:pt idx="15">
                  <c:v>usus halus</c:v>
                </c:pt>
                <c:pt idx="16">
                  <c:v>kelenjar tymus</c:v>
                </c:pt>
                <c:pt idx="17">
                  <c:v>jantung</c:v>
                </c:pt>
              </c:strCache>
            </c:strRef>
          </c:cat>
          <c:val>
            <c:numRef>
              <c:f>'estimasi dosis manusia'!$T$9:$T$26</c:f>
              <c:numCache>
                <c:formatCode>0.00E+00</c:formatCode>
                <c:ptCount val="18"/>
                <c:pt idx="0">
                  <c:v>7.6800000000000002E-4</c:v>
                </c:pt>
                <c:pt idx="1">
                  <c:v>3.1199999999999999E-4</c:v>
                </c:pt>
                <c:pt idx="2">
                  <c:v>1.37E-4</c:v>
                </c:pt>
                <c:pt idx="3">
                  <c:v>1.4100000000000001E-4</c:v>
                </c:pt>
                <c:pt idx="4">
                  <c:v>1.18E-4</c:v>
                </c:pt>
                <c:pt idx="5">
                  <c:v>7.7000000000000001E-5</c:v>
                </c:pt>
                <c:pt idx="6">
                  <c:v>3.9400000000000002E-5</c:v>
                </c:pt>
                <c:pt idx="7">
                  <c:v>4.0599999999999998E-5</c:v>
                </c:pt>
                <c:pt idx="8">
                  <c:v>1.1600000000000001E-5</c:v>
                </c:pt>
                <c:pt idx="9">
                  <c:v>7.2899999999999997E-6</c:v>
                </c:pt>
                <c:pt idx="10">
                  <c:v>6.2099999999999998E-6</c:v>
                </c:pt>
                <c:pt idx="11">
                  <c:v>5.9399999999999999E-6</c:v>
                </c:pt>
                <c:pt idx="12">
                  <c:v>5.1499999999999998E-6</c:v>
                </c:pt>
                <c:pt idx="13">
                  <c:v>5.1499999999999998E-6</c:v>
                </c:pt>
                <c:pt idx="14">
                  <c:v>4.4000000000000002E-6</c:v>
                </c:pt>
                <c:pt idx="15">
                  <c:v>3.6600000000000001E-6</c:v>
                </c:pt>
                <c:pt idx="16">
                  <c:v>2.9399999999999998E-6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v>wanita</c:v>
          </c:tx>
          <c:invertIfNegative val="0"/>
          <c:cat>
            <c:strRef>
              <c:f>'estimasi dosis manusia'!$S$9:$S$26</c:f>
              <c:strCache>
                <c:ptCount val="18"/>
                <c:pt idx="0">
                  <c:v>sumsum merah</c:v>
                </c:pt>
                <c:pt idx="1">
                  <c:v>sel osteogenik</c:v>
                </c:pt>
                <c:pt idx="2">
                  <c:v>paru paru</c:v>
                </c:pt>
                <c:pt idx="3">
                  <c:v>usus</c:v>
                </c:pt>
                <c:pt idx="4">
                  <c:v>hati</c:v>
                </c:pt>
                <c:pt idx="5">
                  <c:v>lambung</c:v>
                </c:pt>
                <c:pt idx="6">
                  <c:v>kandung kemih</c:v>
                </c:pt>
                <c:pt idx="7">
                  <c:v>tyroid</c:v>
                </c:pt>
                <c:pt idx="8">
                  <c:v>ginjal</c:v>
                </c:pt>
                <c:pt idx="9">
                  <c:v>kelenjar adrenal</c:v>
                </c:pt>
                <c:pt idx="10">
                  <c:v>limpa</c:v>
                </c:pt>
                <c:pt idx="11">
                  <c:v>otak</c:v>
                </c:pt>
                <c:pt idx="12">
                  <c:v>kulit</c:v>
                </c:pt>
                <c:pt idx="13">
                  <c:v>pankreas</c:v>
                </c:pt>
                <c:pt idx="14">
                  <c:v>otot</c:v>
                </c:pt>
                <c:pt idx="15">
                  <c:v>usus halus</c:v>
                </c:pt>
                <c:pt idx="16">
                  <c:v>kelenjar tymus</c:v>
                </c:pt>
                <c:pt idx="17">
                  <c:v>jantung</c:v>
                </c:pt>
              </c:strCache>
            </c:strRef>
          </c:cat>
          <c:val>
            <c:numRef>
              <c:f>'estimasi dosis manusia'!$U$9:$U$26</c:f>
              <c:numCache>
                <c:formatCode>0.00E+00</c:formatCode>
                <c:ptCount val="18"/>
                <c:pt idx="0">
                  <c:v>8.4199999999999998E-4</c:v>
                </c:pt>
                <c:pt idx="1">
                  <c:v>4.08E-4</c:v>
                </c:pt>
                <c:pt idx="2">
                  <c:v>1.7699999999999999E-4</c:v>
                </c:pt>
                <c:pt idx="3">
                  <c:v>1.7000000000000001E-4</c:v>
                </c:pt>
                <c:pt idx="4">
                  <c:v>1.5100000000000001E-4</c:v>
                </c:pt>
                <c:pt idx="5">
                  <c:v>1.0399999999999999E-4</c:v>
                </c:pt>
                <c:pt idx="6">
                  <c:v>5.5000000000000002E-5</c:v>
                </c:pt>
                <c:pt idx="7">
                  <c:v>4.57E-5</c:v>
                </c:pt>
                <c:pt idx="8">
                  <c:v>1.36E-5</c:v>
                </c:pt>
                <c:pt idx="9">
                  <c:v>9.2099999999999999E-6</c:v>
                </c:pt>
                <c:pt idx="10">
                  <c:v>7.8299999999999996E-6</c:v>
                </c:pt>
                <c:pt idx="11">
                  <c:v>7.1400000000000002E-6</c:v>
                </c:pt>
                <c:pt idx="12">
                  <c:v>6.5100000000000004E-6</c:v>
                </c:pt>
                <c:pt idx="13">
                  <c:v>6.4500000000000001E-6</c:v>
                </c:pt>
                <c:pt idx="14">
                  <c:v>5.4399999999999996E-6</c:v>
                </c:pt>
                <c:pt idx="15">
                  <c:v>4.5900000000000001E-6</c:v>
                </c:pt>
                <c:pt idx="16">
                  <c:v>3.63E-6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1600"/>
        <c:axId val="100763520"/>
      </c:barChart>
      <c:catAx>
        <c:axId val="10076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Organ</a:t>
                </a:r>
                <a:r>
                  <a:rPr lang="en-US" baseline="0">
                    <a:latin typeface="Times New Roman" pitchFamily="18" charset="0"/>
                    <a:cs typeface="Times New Roman" pitchFamily="18" charset="0"/>
                  </a:rPr>
                  <a:t> Target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52345884311089519"/>
              <c:y val="0.90959781858142397"/>
            </c:manualLayout>
          </c:layout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00763520"/>
        <c:crosses val="autoZero"/>
        <c:auto val="1"/>
        <c:lblAlgn val="ctr"/>
        <c:lblOffset val="100"/>
        <c:noMultiLvlLbl val="0"/>
      </c:catAx>
      <c:valAx>
        <c:axId val="1007635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Estimasi</a:t>
                </a:r>
                <a:r>
                  <a:rPr lang="en-US" baseline="0">
                    <a:latin typeface="Times New Roman" pitchFamily="18" charset="0"/>
                    <a:cs typeface="Times New Roman" pitchFamily="18" charset="0"/>
                  </a:rPr>
                  <a:t> Dosis Internal (mSv/MBq)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2.0972672533580362E-2"/>
              <c:y val="0.13182406574517588"/>
            </c:manualLayout>
          </c:layout>
          <c:overlay val="0"/>
        </c:title>
        <c:numFmt formatCode="0.00E+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0076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952228711726676"/>
          <c:y val="0.25131642302235213"/>
          <c:w val="9.4304123031966766E-2"/>
          <c:h val="0.13813065045690923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323851</xdr:colOff>
      <xdr:row>2</xdr:row>
      <xdr:rowOff>28575</xdr:rowOff>
    </xdr:from>
    <xdr:to>
      <xdr:col>17</xdr:col>
      <xdr:colOff>1419226</xdr:colOff>
      <xdr:row>19</xdr:row>
      <xdr:rowOff>185737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1190624</xdr:colOff>
      <xdr:row>6</xdr:row>
      <xdr:rowOff>9525</xdr:rowOff>
    </xdr:from>
    <xdr:to>
      <xdr:col>16</xdr:col>
      <xdr:colOff>685800</xdr:colOff>
      <xdr:row>8</xdr:row>
      <xdr:rowOff>38100</xdr:rowOff>
    </xdr:to>
    <xdr:sp macro="" textlink="">
      <xdr:nvSpPr>
        <xdr:cNvPr id="3" name="Rectangle 2"/>
        <xdr:cNvSpPr/>
      </xdr:nvSpPr>
      <xdr:spPr>
        <a:xfrm>
          <a:off x="12582524" y="1152525"/>
          <a:ext cx="904876" cy="4095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99mTc-MDP</a:t>
          </a:r>
        </a:p>
        <a:p>
          <a:pPr algn="l"/>
          <a:r>
            <a:rPr lang="en-US" sz="8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TcO2</a:t>
          </a:r>
        </a:p>
      </xdr:txBody>
    </xdr:sp>
    <xdr:clientData/>
  </xdr:twoCellAnchor>
  <xdr:twoCellAnchor>
    <xdr:from>
      <xdr:col>16</xdr:col>
      <xdr:colOff>1343025</xdr:colOff>
      <xdr:row>12</xdr:row>
      <xdr:rowOff>114300</xdr:rowOff>
    </xdr:from>
    <xdr:to>
      <xdr:col>17</xdr:col>
      <xdr:colOff>409576</xdr:colOff>
      <xdr:row>13</xdr:row>
      <xdr:rowOff>104775</xdr:rowOff>
    </xdr:to>
    <xdr:sp macro="" textlink="">
      <xdr:nvSpPr>
        <xdr:cNvPr id="4" name="Rectangle 3"/>
        <xdr:cNvSpPr/>
      </xdr:nvSpPr>
      <xdr:spPr>
        <a:xfrm>
          <a:off x="14144625" y="2400300"/>
          <a:ext cx="904876" cy="1809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TcO4</a:t>
          </a:r>
        </a:p>
      </xdr:txBody>
    </xdr:sp>
    <xdr:clientData/>
  </xdr:twoCellAnchor>
  <xdr:twoCellAnchor>
    <xdr:from>
      <xdr:col>11</xdr:col>
      <xdr:colOff>219075</xdr:colOff>
      <xdr:row>23</xdr:row>
      <xdr:rowOff>33337</xdr:rowOff>
    </xdr:from>
    <xdr:to>
      <xdr:col>16</xdr:col>
      <xdr:colOff>742950</xdr:colOff>
      <xdr:row>37</xdr:row>
      <xdr:rowOff>109537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257176</xdr:colOff>
      <xdr:row>47</xdr:row>
      <xdr:rowOff>152400</xdr:rowOff>
    </xdr:from>
    <xdr:to>
      <xdr:col>24</xdr:col>
      <xdr:colOff>342900</xdr:colOff>
      <xdr:row>49</xdr:row>
      <xdr:rowOff>66675</xdr:rowOff>
    </xdr:to>
    <xdr:cxnSp macro="">
      <xdr:nvCxnSpPr>
        <xdr:cNvPr id="6" name="Straight Arrow Connector 5"/>
        <xdr:cNvCxnSpPr/>
      </xdr:nvCxnSpPr>
      <xdr:spPr>
        <a:xfrm flipH="1">
          <a:off x="22364701" y="9105900"/>
          <a:ext cx="85724" cy="295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323850</xdr:colOff>
      <xdr:row>43</xdr:row>
      <xdr:rowOff>95250</xdr:rowOff>
    </xdr:from>
    <xdr:to>
      <xdr:col>26</xdr:col>
      <xdr:colOff>295275</xdr:colOff>
      <xdr:row>44</xdr:row>
      <xdr:rowOff>76200</xdr:rowOff>
    </xdr:to>
    <xdr:cxnSp macro="">
      <xdr:nvCxnSpPr>
        <xdr:cNvPr id="7" name="Straight Arrow Connector 6"/>
        <xdr:cNvCxnSpPr/>
      </xdr:nvCxnSpPr>
      <xdr:spPr>
        <a:xfrm>
          <a:off x="23040975" y="8286750"/>
          <a:ext cx="581025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0.33125</cdr:x>
      <cdr:y>0.28646</cdr:y>
    </cdr:from>
    <cdr:to>
      <cdr:x>0.36875</cdr:x>
      <cdr:y>0.34549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H="1">
          <a:off x="3246656" y="785817"/>
          <a:ext cx="367546" cy="16193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0.6746</cdr:x>
      <cdr:y>0.65452</cdr:y>
    </cdr:from>
    <cdr:to>
      <cdr:x>0.69335</cdr:x>
      <cdr:y>0.75174</cdr:y>
    </cdr:to>
    <cdr:cxnSp macro="">
      <cdr:nvCxnSpPr>
        <cdr:cNvPr id="7" name="Straight Arrow Connector 6"/>
        <cdr:cNvCxnSpPr/>
      </cdr:nvCxnSpPr>
      <cdr:spPr>
        <a:xfrm xmlns:a="http://schemas.openxmlformats.org/drawingml/2006/main">
          <a:off x="6611925" y="1795476"/>
          <a:ext cx="183773" cy="26669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0.3125</cdr:x>
      <cdr:y>0.53646</cdr:y>
    </cdr:from>
    <cdr:to>
      <cdr:x>0.45417</cdr:x>
      <cdr:y>0.63368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428751" y="1471613"/>
          <a:ext cx="64770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TcO2</a:t>
          </a:r>
        </a:p>
      </cdr:txBody>
    </cdr:sp>
  </cdr:relSizeAnchor>
  <cdr:relSizeAnchor xmlns:cdr="http://schemas.openxmlformats.org/drawingml/2006/chartDrawing">
    <cdr:from>
      <cdr:x>0.4236</cdr:x>
      <cdr:y>0.28242</cdr:y>
    </cdr:from>
    <cdr:to>
      <cdr:x>0.67291</cdr:x>
      <cdr:y>0.37617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936714" y="774722"/>
          <a:ext cx="1139846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99mTc-MDP</a:t>
          </a:r>
        </a:p>
        <a:p xmlns:a="http://schemas.openxmlformats.org/drawingml/2006/main">
          <a:r>
            <a:rPr lang="en-US" sz="10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TcO4</a:t>
          </a:r>
        </a:p>
      </cdr:txBody>
    </cdr:sp>
  </cdr:relSizeAnchor>
  <cdr:relSizeAnchor xmlns:cdr="http://schemas.openxmlformats.org/drawingml/2006/chartDrawing">
    <cdr:from>
      <cdr:x>0.37569</cdr:x>
      <cdr:y>0.6088</cdr:y>
    </cdr:from>
    <cdr:to>
      <cdr:x>0.39851</cdr:x>
      <cdr:y>0.72914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1717675" y="1670050"/>
          <a:ext cx="104298" cy="33012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0.6125</cdr:x>
      <cdr:y>0.28646</cdr:y>
    </cdr:from>
    <cdr:to>
      <cdr:x>0.69583</cdr:x>
      <cdr:y>0.31077</cdr:y>
    </cdr:to>
    <cdr:cxnSp macro="">
      <cdr:nvCxnSpPr>
        <cdr:cNvPr id="6" name="Straight Arrow Connector 5"/>
        <cdr:cNvCxnSpPr/>
      </cdr:nvCxnSpPr>
      <cdr:spPr>
        <a:xfrm xmlns:a="http://schemas.openxmlformats.org/drawingml/2006/main" flipV="1">
          <a:off x="2800350" y="785814"/>
          <a:ext cx="380985" cy="6668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38</xdr:row>
      <xdr:rowOff>161925</xdr:rowOff>
    </xdr:from>
    <xdr:to>
      <xdr:col>19</xdr:col>
      <xdr:colOff>304800</xdr:colOff>
      <xdr:row>57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752475</xdr:colOff>
      <xdr:row>21</xdr:row>
      <xdr:rowOff>19050</xdr:rowOff>
    </xdr:from>
    <xdr:to>
      <xdr:col>19</xdr:col>
      <xdr:colOff>619125</xdr:colOff>
      <xdr:row>38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347661</xdr:colOff>
      <xdr:row>0</xdr:row>
      <xdr:rowOff>95251</xdr:rowOff>
    </xdr:from>
    <xdr:to>
      <xdr:col>15</xdr:col>
      <xdr:colOff>447675</xdr:colOff>
      <xdr:row>17</xdr:row>
      <xdr:rowOff>138113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6</xdr:row>
      <xdr:rowOff>114300</xdr:rowOff>
    </xdr:from>
    <xdr:to>
      <xdr:col>14</xdr:col>
      <xdr:colOff>180974</xdr:colOff>
      <xdr:row>27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34</xdr:row>
      <xdr:rowOff>85725</xdr:rowOff>
    </xdr:from>
    <xdr:to>
      <xdr:col>16</xdr:col>
      <xdr:colOff>200025</xdr:colOff>
      <xdr:row>56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209549</xdr:colOff>
      <xdr:row>37</xdr:row>
      <xdr:rowOff>0</xdr:rowOff>
    </xdr:from>
    <xdr:to>
      <xdr:col>8</xdr:col>
      <xdr:colOff>495299</xdr:colOff>
      <xdr:row>55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485775</xdr:colOff>
      <xdr:row>11</xdr:row>
      <xdr:rowOff>14287</xdr:rowOff>
    </xdr:from>
    <xdr:to>
      <xdr:col>13</xdr:col>
      <xdr:colOff>295275</xdr:colOff>
      <xdr:row>27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4"/>
  <sheetViews>
    <sheetView tabSelected="1" topLeftCell="H1" workbookViewId="0">
      <selection activeCell="S17" sqref="S17"/>
    </sheetView>
  </sheetViews>
  <sheetFormatPr defaultRowHeight="15" x14ac:dyDescent="0.25"/>
  <cols>
    <col min="2" max="2" width="13.7109375" bestFit="1" customWidth="1"/>
    <col min="7" max="7" width="11.7109375" bestFit="1" customWidth="1"/>
    <col min="8" max="8" width="12.140625" customWidth="1"/>
    <col min="9" max="9" width="12.7109375" customWidth="1"/>
    <col min="10" max="10" width="23.140625" bestFit="1" customWidth="1"/>
    <col min="11" max="12" width="12.140625" bestFit="1" customWidth="1"/>
    <col min="16" max="16" width="21.140625" customWidth="1"/>
    <col min="17" max="17" width="27.5703125" customWidth="1"/>
    <col min="18" max="18" width="27.42578125" bestFit="1" customWidth="1"/>
    <col min="19" max="19" width="38.85546875" bestFit="1" customWidth="1"/>
  </cols>
  <sheetData>
    <row r="2" spans="2:9" x14ac:dyDescent="0.25">
      <c r="B2" s="41" t="s">
        <v>113</v>
      </c>
      <c r="C2" s="41"/>
      <c r="D2" s="41"/>
      <c r="E2" s="41"/>
      <c r="G2" s="49" t="s">
        <v>114</v>
      </c>
      <c r="H2" s="49" t="s">
        <v>115</v>
      </c>
      <c r="I2" s="49"/>
    </row>
    <row r="3" spans="2:9" x14ac:dyDescent="0.25">
      <c r="B3" s="39" t="s">
        <v>114</v>
      </c>
      <c r="C3" s="39" t="s">
        <v>116</v>
      </c>
      <c r="D3" s="39" t="s">
        <v>117</v>
      </c>
      <c r="G3" s="49"/>
      <c r="H3" s="42" t="s">
        <v>118</v>
      </c>
      <c r="I3" s="42" t="s">
        <v>119</v>
      </c>
    </row>
    <row r="4" spans="2:9" x14ac:dyDescent="0.25">
      <c r="B4" s="39">
        <v>-1</v>
      </c>
      <c r="C4" s="39">
        <v>32</v>
      </c>
      <c r="D4" s="39">
        <v>-5</v>
      </c>
      <c r="G4" s="39">
        <v>-1</v>
      </c>
      <c r="H4" s="42">
        <f>2.88675134594813-1.73205080756888</f>
        <v>1.1547005383792499</v>
      </c>
      <c r="I4" s="42">
        <f>1.73205080756888-2.3094010767585</f>
        <v>-0.57735026918961974</v>
      </c>
    </row>
    <row r="5" spans="2:9" x14ac:dyDescent="0.25">
      <c r="B5" s="39">
        <v>0</v>
      </c>
      <c r="C5" s="39">
        <v>1243</v>
      </c>
      <c r="D5" s="39">
        <v>102257</v>
      </c>
      <c r="G5" s="39">
        <v>0</v>
      </c>
      <c r="H5" s="42">
        <f>6.92820323027551-1.73205080756888</f>
        <v>5.1961524227066294</v>
      </c>
      <c r="I5" s="42">
        <f>184.174735871491-2.3094010767585</f>
        <v>181.86533479473252</v>
      </c>
    </row>
    <row r="6" spans="2:9" x14ac:dyDescent="0.25">
      <c r="B6" s="39">
        <v>1</v>
      </c>
      <c r="C6" s="39">
        <v>332</v>
      </c>
      <c r="D6" s="39">
        <v>-13</v>
      </c>
      <c r="G6" s="39">
        <v>1</v>
      </c>
      <c r="H6" s="42">
        <f>2.88675134594813-1.73205080756888</f>
        <v>1.1547005383792499</v>
      </c>
      <c r="I6" s="42">
        <f>1.15470053837925-2.3094010767585</f>
        <v>-1.1547005383792499</v>
      </c>
    </row>
    <row r="7" spans="2:9" x14ac:dyDescent="0.25">
      <c r="B7" s="39">
        <v>2</v>
      </c>
      <c r="C7" s="39">
        <v>220</v>
      </c>
      <c r="D7" s="39">
        <v>-13</v>
      </c>
      <c r="G7" s="39">
        <v>2</v>
      </c>
      <c r="H7" s="42">
        <f>2.88675134594813-1.73205080756888</f>
        <v>1.1547005383792499</v>
      </c>
      <c r="I7" s="42">
        <f>1.15470053837925-2.3094010767585</f>
        <v>-1.1547005383792499</v>
      </c>
    </row>
    <row r="8" spans="2:9" x14ac:dyDescent="0.25">
      <c r="B8" s="39">
        <v>3</v>
      </c>
      <c r="C8" s="39">
        <v>447</v>
      </c>
      <c r="D8" s="39">
        <v>-15</v>
      </c>
      <c r="G8" s="39">
        <v>3</v>
      </c>
      <c r="H8" s="42">
        <f>4.04145188432738-1.73205080756888</f>
        <v>2.3094010767584994</v>
      </c>
      <c r="I8" s="42">
        <f>1.15470053837925-2.3094010767585</f>
        <v>-1.1547005383792499</v>
      </c>
    </row>
    <row r="9" spans="2:9" x14ac:dyDescent="0.25">
      <c r="B9" s="39">
        <v>4</v>
      </c>
      <c r="C9" s="39">
        <v>1720</v>
      </c>
      <c r="D9" s="39">
        <v>-8</v>
      </c>
      <c r="G9" s="39">
        <v>4</v>
      </c>
      <c r="H9" s="42">
        <f>23.6713610367747-1.73205080756888</f>
        <v>21.939310229205823</v>
      </c>
      <c r="I9" s="42">
        <f>1.73205080756888-2.3094010767585</f>
        <v>-0.57735026918961974</v>
      </c>
    </row>
    <row r="10" spans="2:9" x14ac:dyDescent="0.25">
      <c r="B10" s="39">
        <v>5</v>
      </c>
      <c r="C10" s="39">
        <v>34225</v>
      </c>
      <c r="D10" s="39">
        <v>-11</v>
      </c>
      <c r="G10" s="39">
        <v>5</v>
      </c>
      <c r="H10" s="42">
        <f>121.243556529821-1.73205080756888</f>
        <v>119.51150572225212</v>
      </c>
      <c r="I10" s="42">
        <f>1.15470053837925-2.3094010767585</f>
        <v>-1.1547005383792499</v>
      </c>
    </row>
    <row r="11" spans="2:9" x14ac:dyDescent="0.25">
      <c r="B11" s="39">
        <v>6</v>
      </c>
      <c r="C11" s="39">
        <v>65271</v>
      </c>
      <c r="D11" s="39">
        <v>10</v>
      </c>
      <c r="G11" s="39">
        <v>6</v>
      </c>
      <c r="H11" s="42">
        <f>147.224318643355-1.73205080756888</f>
        <v>145.49226783578612</v>
      </c>
      <c r="I11" s="42">
        <f>2.88675134594813-2.3094010767585</f>
        <v>0.57735026918963017</v>
      </c>
    </row>
    <row r="12" spans="2:9" x14ac:dyDescent="0.25">
      <c r="B12" s="39">
        <v>7</v>
      </c>
      <c r="C12" s="39">
        <v>2919</v>
      </c>
      <c r="D12" s="39">
        <v>1</v>
      </c>
      <c r="G12" s="39">
        <v>7</v>
      </c>
      <c r="H12" s="42">
        <f>31.1769145362398-1.73205080756888</f>
        <v>29.444863728670921</v>
      </c>
      <c r="I12" s="42">
        <f>2.3094010767585-2.3094010767585</f>
        <v>0</v>
      </c>
    </row>
    <row r="13" spans="2:9" x14ac:dyDescent="0.25">
      <c r="B13" s="39">
        <v>8</v>
      </c>
      <c r="C13" s="39">
        <v>27</v>
      </c>
      <c r="D13" s="39">
        <v>35</v>
      </c>
      <c r="G13" s="39">
        <v>8</v>
      </c>
      <c r="H13" s="42">
        <f>3.46410161513775-1.73205080756888</f>
        <v>1.7320508075688699</v>
      </c>
      <c r="I13" s="42">
        <f>4.04145188432738-2.3094010767585</f>
        <v>1.7320508075688799</v>
      </c>
    </row>
    <row r="14" spans="2:9" x14ac:dyDescent="0.25">
      <c r="B14" s="40" t="s">
        <v>120</v>
      </c>
      <c r="C14" s="40">
        <f>SUM(C4:C13)</f>
        <v>106436</v>
      </c>
      <c r="D14" s="40">
        <f>SUM(D4:D13)</f>
        <v>102238</v>
      </c>
      <c r="G14" s="4" t="s">
        <v>6</v>
      </c>
      <c r="H14" s="32">
        <f>AVERAGE(H4:H13)</f>
        <v>32.908965343808674</v>
      </c>
      <c r="I14" s="32">
        <f>AVERAGE(I4:I13)</f>
        <v>17.840123317959478</v>
      </c>
    </row>
    <row r="15" spans="2:9" x14ac:dyDescent="0.25">
      <c r="B15" s="40" t="s">
        <v>121</v>
      </c>
      <c r="C15" s="40">
        <f>SUM(C4:C6)</f>
        <v>1607</v>
      </c>
      <c r="D15" s="40">
        <f>SUM(D11:D13)</f>
        <v>46</v>
      </c>
      <c r="G15" s="4" t="s">
        <v>122</v>
      </c>
      <c r="H15" s="50">
        <f>(H14+I14)/2</f>
        <v>25.374544330884078</v>
      </c>
      <c r="I15" s="50"/>
    </row>
    <row r="16" spans="2:9" x14ac:dyDescent="0.25">
      <c r="B16" s="40" t="s">
        <v>123</v>
      </c>
      <c r="C16" s="40">
        <f>C15/C14</f>
        <v>1.5098275019730167E-2</v>
      </c>
      <c r="D16" s="40">
        <f>D15/D14</f>
        <v>4.4993055419706961E-4</v>
      </c>
      <c r="E16" s="41"/>
    </row>
    <row r="17" spans="2:12" x14ac:dyDescent="0.25">
      <c r="B17" s="40" t="s">
        <v>124</v>
      </c>
      <c r="C17" s="40">
        <f>C16*100</f>
        <v>1.5098275019730167</v>
      </c>
      <c r="D17" s="40">
        <f>D16*100</f>
        <v>4.4993055419706961E-2</v>
      </c>
      <c r="J17" s="50" t="s">
        <v>125</v>
      </c>
      <c r="K17" s="51" t="s">
        <v>126</v>
      </c>
      <c r="L17" s="51"/>
    </row>
    <row r="18" spans="2:12" x14ac:dyDescent="0.25">
      <c r="B18" s="40" t="s">
        <v>127</v>
      </c>
      <c r="C18" s="51">
        <f>1-C16-F20</f>
        <v>0.98490172498026984</v>
      </c>
      <c r="D18" s="51"/>
      <c r="J18" s="50"/>
      <c r="K18" s="4" t="s">
        <v>128</v>
      </c>
      <c r="L18" s="4" t="s">
        <v>129</v>
      </c>
    </row>
    <row r="19" spans="2:12" x14ac:dyDescent="0.25">
      <c r="B19" s="40" t="s">
        <v>130</v>
      </c>
      <c r="C19" s="48">
        <f>C18*100</f>
        <v>98.490172498026979</v>
      </c>
      <c r="D19" s="48"/>
      <c r="J19" s="1" t="s">
        <v>131</v>
      </c>
      <c r="K19" s="1" t="s">
        <v>132</v>
      </c>
      <c r="L19" s="1" t="s">
        <v>133</v>
      </c>
    </row>
    <row r="20" spans="2:12" x14ac:dyDescent="0.25">
      <c r="B20" s="41"/>
      <c r="C20" s="41"/>
      <c r="D20" s="41"/>
      <c r="E20" s="41"/>
    </row>
    <row r="21" spans="2:12" x14ac:dyDescent="0.25">
      <c r="D21" s="41"/>
      <c r="E21" s="41"/>
    </row>
    <row r="22" spans="2:12" x14ac:dyDescent="0.25">
      <c r="D22" s="43"/>
      <c r="E22" s="41"/>
    </row>
    <row r="24" spans="2:12" x14ac:dyDescent="0.25">
      <c r="E24" s="44"/>
      <c r="F24" s="44"/>
    </row>
    <row r="46" spans="5:12" x14ac:dyDescent="0.25">
      <c r="K46" s="44"/>
      <c r="L46" s="44"/>
    </row>
    <row r="47" spans="5:12" x14ac:dyDescent="0.25">
      <c r="E47" s="44"/>
    </row>
    <row r="55" spans="22:22" x14ac:dyDescent="0.25">
      <c r="V55">
        <v>-1</v>
      </c>
    </row>
    <row r="56" spans="22:22" x14ac:dyDescent="0.25">
      <c r="V56">
        <v>0</v>
      </c>
    </row>
    <row r="57" spans="22:22" x14ac:dyDescent="0.25">
      <c r="V57">
        <v>1</v>
      </c>
    </row>
    <row r="58" spans="22:22" x14ac:dyDescent="0.25">
      <c r="V58">
        <v>2</v>
      </c>
    </row>
    <row r="59" spans="22:22" x14ac:dyDescent="0.25">
      <c r="V59">
        <v>3</v>
      </c>
    </row>
    <row r="60" spans="22:22" x14ac:dyDescent="0.25">
      <c r="V60">
        <v>4</v>
      </c>
    </row>
    <row r="61" spans="22:22" x14ac:dyDescent="0.25">
      <c r="V61">
        <v>5</v>
      </c>
    </row>
    <row r="62" spans="22:22" x14ac:dyDescent="0.25">
      <c r="V62">
        <v>6</v>
      </c>
    </row>
    <row r="63" spans="22:22" x14ac:dyDescent="0.25">
      <c r="V63">
        <v>7</v>
      </c>
    </row>
    <row r="64" spans="22:22" x14ac:dyDescent="0.25">
      <c r="V64">
        <v>8</v>
      </c>
    </row>
  </sheetData>
  <mergeCells count="7">
    <mergeCell ref="K17:L17"/>
    <mergeCell ref="C18:D18"/>
    <mergeCell ref="C19:D19"/>
    <mergeCell ref="G2:G3"/>
    <mergeCell ref="H2:I2"/>
    <mergeCell ref="H15:I15"/>
    <mergeCell ref="J17:J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4"/>
  <sheetViews>
    <sheetView topLeftCell="K34" workbookViewId="0">
      <selection activeCell="U49" sqref="U49"/>
    </sheetView>
  </sheetViews>
  <sheetFormatPr defaultRowHeight="15" x14ac:dyDescent="0.25"/>
  <cols>
    <col min="1" max="1" width="13.7109375" bestFit="1" customWidth="1"/>
    <col min="2" max="2" width="12.28515625" bestFit="1" customWidth="1"/>
    <col min="3" max="5" width="12" bestFit="1" customWidth="1"/>
    <col min="6" max="6" width="12" customWidth="1"/>
    <col min="7" max="7" width="14.85546875" bestFit="1" customWidth="1"/>
    <col min="8" max="8" width="18" bestFit="1" customWidth="1"/>
    <col min="9" max="9" width="14.5703125" bestFit="1" customWidth="1"/>
    <col min="10" max="10" width="13.5703125" customWidth="1"/>
    <col min="11" max="11" width="8.5703125" bestFit="1" customWidth="1"/>
    <col min="12" max="12" width="8.5703125" customWidth="1"/>
    <col min="13" max="13" width="12" bestFit="1" customWidth="1"/>
    <col min="14" max="14" width="14.85546875" bestFit="1" customWidth="1"/>
    <col min="15" max="15" width="18" bestFit="1" customWidth="1"/>
    <col min="16" max="16" width="18" customWidth="1"/>
    <col min="17" max="18" width="10" bestFit="1" customWidth="1"/>
    <col min="19" max="19" width="12" bestFit="1" customWidth="1"/>
    <col min="20" max="20" width="14.85546875" bestFit="1" customWidth="1"/>
    <col min="21" max="21" width="18" bestFit="1" customWidth="1"/>
    <col min="22" max="22" width="12" customWidth="1"/>
    <col min="23" max="23" width="7" bestFit="1" customWidth="1"/>
    <col min="24" max="24" width="8" bestFit="1" customWidth="1"/>
    <col min="25" max="25" width="12" bestFit="1" customWidth="1"/>
    <col min="26" max="26" width="14.85546875" bestFit="1" customWidth="1"/>
    <col min="27" max="27" width="18" bestFit="1" customWidth="1"/>
    <col min="28" max="28" width="13.28515625" bestFit="1" customWidth="1"/>
    <col min="29" max="29" width="7" bestFit="1" customWidth="1"/>
    <col min="30" max="30" width="8" bestFit="1" customWidth="1"/>
    <col min="31" max="31" width="12" bestFit="1" customWidth="1"/>
    <col min="32" max="32" width="14.85546875" bestFit="1" customWidth="1"/>
    <col min="33" max="33" width="18" bestFit="1" customWidth="1"/>
    <col min="34" max="34" width="13.28515625" bestFit="1" customWidth="1"/>
    <col min="35" max="35" width="7" bestFit="1" customWidth="1"/>
    <col min="37" max="37" width="12" bestFit="1" customWidth="1"/>
    <col min="38" max="38" width="14.85546875" bestFit="1" customWidth="1"/>
    <col min="39" max="39" width="18" bestFit="1" customWidth="1"/>
    <col min="40" max="40" width="12.28515625" customWidth="1"/>
    <col min="41" max="41" width="7" bestFit="1" customWidth="1"/>
    <col min="43" max="43" width="12" bestFit="1" customWidth="1"/>
    <col min="44" max="44" width="14.85546875" bestFit="1" customWidth="1"/>
    <col min="45" max="45" width="18" bestFit="1" customWidth="1"/>
    <col min="46" max="46" width="13.28515625" bestFit="1" customWidth="1"/>
    <col min="47" max="47" width="7" bestFit="1" customWidth="1"/>
    <col min="48" max="48" width="8" bestFit="1" customWidth="1"/>
    <col min="49" max="49" width="12" bestFit="1" customWidth="1"/>
    <col min="50" max="50" width="14.85546875" bestFit="1" customWidth="1"/>
    <col min="51" max="51" width="18" bestFit="1" customWidth="1"/>
    <col min="52" max="52" width="13.28515625" bestFit="1" customWidth="1"/>
    <col min="53" max="53" width="7" bestFit="1" customWidth="1"/>
    <col min="54" max="54" width="8" bestFit="1" customWidth="1"/>
    <col min="55" max="55" width="12" bestFit="1" customWidth="1"/>
    <col min="56" max="58" width="12" customWidth="1"/>
    <col min="59" max="59" width="7" bestFit="1" customWidth="1"/>
    <col min="60" max="60" width="8" bestFit="1" customWidth="1"/>
    <col min="61" max="61" width="12" bestFit="1" customWidth="1"/>
    <col min="62" max="64" width="12" customWidth="1"/>
    <col min="65" max="65" width="7" bestFit="1" customWidth="1"/>
    <col min="66" max="66" width="8" bestFit="1" customWidth="1"/>
    <col min="67" max="67" width="12" bestFit="1" customWidth="1"/>
    <col min="68" max="68" width="14.85546875" bestFit="1" customWidth="1"/>
    <col min="69" max="69" width="18" bestFit="1" customWidth="1"/>
    <col min="70" max="70" width="13.28515625" bestFit="1" customWidth="1"/>
    <col min="71" max="71" width="7" bestFit="1" customWidth="1"/>
    <col min="72" max="72" width="8" bestFit="1" customWidth="1"/>
    <col min="73" max="73" width="12" bestFit="1" customWidth="1"/>
    <col min="74" max="74" width="14.85546875" bestFit="1" customWidth="1"/>
    <col min="75" max="75" width="18" bestFit="1" customWidth="1"/>
    <col min="76" max="76" width="13.28515625" bestFit="1" customWidth="1"/>
    <col min="77" max="77" width="7" bestFit="1" customWidth="1"/>
    <col min="78" max="78" width="8" bestFit="1" customWidth="1"/>
    <col min="79" max="79" width="12" bestFit="1" customWidth="1"/>
    <col min="80" max="80" width="14.85546875" bestFit="1" customWidth="1"/>
    <col min="81" max="81" width="18" bestFit="1" customWidth="1"/>
    <col min="82" max="82" width="13.28515625" bestFit="1" customWidth="1"/>
  </cols>
  <sheetData>
    <row r="1" spans="1:82" x14ac:dyDescent="0.25">
      <c r="A1" s="49" t="s">
        <v>42</v>
      </c>
      <c r="B1" s="64" t="s">
        <v>49</v>
      </c>
      <c r="C1" s="64"/>
      <c r="D1" s="64"/>
      <c r="E1" s="64"/>
      <c r="G1" s="61" t="s">
        <v>9</v>
      </c>
      <c r="H1" s="61" t="s">
        <v>38</v>
      </c>
      <c r="I1" s="16"/>
      <c r="J1" s="61" t="s">
        <v>7</v>
      </c>
      <c r="K1" s="52" t="s">
        <v>36</v>
      </c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69"/>
      <c r="BZ1" s="69"/>
      <c r="CA1" s="70"/>
    </row>
    <row r="2" spans="1:82" x14ac:dyDescent="0.25">
      <c r="A2" s="49"/>
      <c r="B2" s="15" t="s">
        <v>0</v>
      </c>
      <c r="C2" s="15" t="s">
        <v>1</v>
      </c>
      <c r="D2" s="15" t="s">
        <v>2</v>
      </c>
      <c r="E2" s="15" t="s">
        <v>3</v>
      </c>
      <c r="G2" s="65"/>
      <c r="H2" s="65"/>
      <c r="I2" s="17" t="s">
        <v>39</v>
      </c>
      <c r="J2" s="65"/>
      <c r="K2" s="52" t="s">
        <v>22</v>
      </c>
      <c r="L2" s="53"/>
      <c r="M2" s="53"/>
      <c r="N2" s="53"/>
      <c r="O2" s="53"/>
      <c r="P2" s="54"/>
      <c r="Q2" s="52" t="s">
        <v>23</v>
      </c>
      <c r="R2" s="53"/>
      <c r="S2" s="53"/>
      <c r="T2" s="53"/>
      <c r="U2" s="53"/>
      <c r="V2" s="54"/>
      <c r="W2" s="52" t="s">
        <v>24</v>
      </c>
      <c r="X2" s="53"/>
      <c r="Y2" s="53"/>
      <c r="Z2" s="53"/>
      <c r="AA2" s="53"/>
      <c r="AB2" s="54"/>
      <c r="AC2" s="52" t="s">
        <v>25</v>
      </c>
      <c r="AD2" s="53"/>
      <c r="AE2" s="53"/>
      <c r="AF2" s="53"/>
      <c r="AG2" s="53"/>
      <c r="AH2" s="54"/>
      <c r="AI2" s="52" t="s">
        <v>26</v>
      </c>
      <c r="AJ2" s="53"/>
      <c r="AK2" s="53"/>
      <c r="AL2" s="53"/>
      <c r="AM2" s="53"/>
      <c r="AN2" s="54"/>
      <c r="AO2" s="52" t="s">
        <v>27</v>
      </c>
      <c r="AP2" s="53"/>
      <c r="AQ2" s="53"/>
      <c r="AR2" s="53"/>
      <c r="AS2" s="53"/>
      <c r="AT2" s="54"/>
      <c r="AU2" s="52" t="s">
        <v>28</v>
      </c>
      <c r="AV2" s="53"/>
      <c r="AW2" s="53"/>
      <c r="AX2" s="53"/>
      <c r="AY2" s="53"/>
      <c r="AZ2" s="54"/>
      <c r="BA2" s="52" t="s">
        <v>29</v>
      </c>
      <c r="BB2" s="53"/>
      <c r="BC2" s="53"/>
      <c r="BD2" s="53"/>
      <c r="BE2" s="53"/>
      <c r="BF2" s="54"/>
      <c r="BG2" s="52" t="s">
        <v>30</v>
      </c>
      <c r="BH2" s="53"/>
      <c r="BI2" s="53"/>
      <c r="BJ2" s="53"/>
      <c r="BK2" s="53"/>
      <c r="BL2" s="54"/>
      <c r="BM2" s="52" t="s">
        <v>31</v>
      </c>
      <c r="BN2" s="53"/>
      <c r="BO2" s="53"/>
      <c r="BP2" s="53"/>
      <c r="BQ2" s="53"/>
      <c r="BR2" s="54"/>
      <c r="BS2" s="52" t="s">
        <v>32</v>
      </c>
      <c r="BT2" s="53"/>
      <c r="BU2" s="53"/>
      <c r="BV2" s="53"/>
      <c r="BW2" s="53"/>
      <c r="BX2" s="54"/>
      <c r="BY2" s="51" t="s">
        <v>33</v>
      </c>
      <c r="BZ2" s="51"/>
      <c r="CA2" s="51"/>
      <c r="CB2" s="51"/>
      <c r="CC2" s="51"/>
      <c r="CD2" s="51"/>
    </row>
    <row r="3" spans="1:82" x14ac:dyDescent="0.25">
      <c r="A3" s="1" t="s">
        <v>43</v>
      </c>
      <c r="B3" s="1">
        <v>1116837</v>
      </c>
      <c r="C3" s="1">
        <v>527810</v>
      </c>
      <c r="D3" s="1">
        <v>519329</v>
      </c>
      <c r="E3" s="1">
        <v>114581</v>
      </c>
      <c r="G3" s="62"/>
      <c r="H3" s="62"/>
      <c r="I3" s="18"/>
      <c r="J3" s="62"/>
      <c r="K3" s="4" t="s">
        <v>34</v>
      </c>
      <c r="L3" s="4" t="s">
        <v>8</v>
      </c>
      <c r="M3" s="4" t="s">
        <v>40</v>
      </c>
      <c r="N3" s="31" t="s">
        <v>52</v>
      </c>
      <c r="O3" s="31" t="s">
        <v>53</v>
      </c>
      <c r="P3" s="31" t="s">
        <v>55</v>
      </c>
      <c r="Q3" s="4" t="s">
        <v>35</v>
      </c>
      <c r="R3" s="4" t="s">
        <v>8</v>
      </c>
      <c r="S3" s="4" t="s">
        <v>40</v>
      </c>
      <c r="T3" s="32" t="s">
        <v>52</v>
      </c>
      <c r="U3" s="32" t="s">
        <v>53</v>
      </c>
      <c r="V3" s="32" t="s">
        <v>56</v>
      </c>
      <c r="W3" s="4" t="s">
        <v>34</v>
      </c>
      <c r="X3" s="4" t="s">
        <v>8</v>
      </c>
      <c r="Y3" s="4" t="s">
        <v>40</v>
      </c>
      <c r="Z3" s="32" t="s">
        <v>52</v>
      </c>
      <c r="AA3" s="32" t="s">
        <v>53</v>
      </c>
      <c r="AB3" s="32" t="s">
        <v>55</v>
      </c>
      <c r="AC3" s="4" t="s">
        <v>35</v>
      </c>
      <c r="AD3" s="4" t="s">
        <v>8</v>
      </c>
      <c r="AE3" s="4" t="s">
        <v>40</v>
      </c>
      <c r="AF3" s="32" t="s">
        <v>52</v>
      </c>
      <c r="AG3" s="32" t="s">
        <v>53</v>
      </c>
      <c r="AH3" s="32" t="s">
        <v>55</v>
      </c>
      <c r="AI3" s="4" t="s">
        <v>35</v>
      </c>
      <c r="AJ3" s="4" t="s">
        <v>8</v>
      </c>
      <c r="AK3" s="4" t="s">
        <v>40</v>
      </c>
      <c r="AL3" s="32" t="s">
        <v>52</v>
      </c>
      <c r="AM3" s="32" t="s">
        <v>53</v>
      </c>
      <c r="AN3" s="32" t="s">
        <v>55</v>
      </c>
      <c r="AO3" s="4" t="s">
        <v>35</v>
      </c>
      <c r="AP3" s="4" t="s">
        <v>8</v>
      </c>
      <c r="AQ3" s="4" t="s">
        <v>40</v>
      </c>
      <c r="AR3" s="32" t="s">
        <v>52</v>
      </c>
      <c r="AS3" s="32" t="s">
        <v>53</v>
      </c>
      <c r="AT3" s="32" t="s">
        <v>55</v>
      </c>
      <c r="AU3" s="5" t="s">
        <v>35</v>
      </c>
      <c r="AV3" s="5" t="s">
        <v>8</v>
      </c>
      <c r="AW3" s="4" t="s">
        <v>40</v>
      </c>
      <c r="AX3" s="32" t="s">
        <v>52</v>
      </c>
      <c r="AY3" s="32" t="s">
        <v>53</v>
      </c>
      <c r="AZ3" s="32" t="s">
        <v>55</v>
      </c>
      <c r="BA3" s="5" t="s">
        <v>35</v>
      </c>
      <c r="BB3" s="5" t="s">
        <v>8</v>
      </c>
      <c r="BC3" s="4" t="s">
        <v>40</v>
      </c>
      <c r="BD3" s="32" t="s">
        <v>52</v>
      </c>
      <c r="BE3" s="32" t="s">
        <v>53</v>
      </c>
      <c r="BF3" s="32" t="s">
        <v>55</v>
      </c>
      <c r="BG3" s="5" t="s">
        <v>35</v>
      </c>
      <c r="BH3" s="5" t="s">
        <v>8</v>
      </c>
      <c r="BI3" s="4" t="s">
        <v>40</v>
      </c>
      <c r="BJ3" s="32" t="s">
        <v>52</v>
      </c>
      <c r="BK3" s="32" t="s">
        <v>53</v>
      </c>
      <c r="BL3" s="32" t="s">
        <v>55</v>
      </c>
      <c r="BM3" s="5" t="s">
        <v>35</v>
      </c>
      <c r="BN3" s="13" t="s">
        <v>8</v>
      </c>
      <c r="BO3" s="4" t="s">
        <v>40</v>
      </c>
      <c r="BP3" s="32" t="s">
        <v>52</v>
      </c>
      <c r="BQ3" s="32" t="s">
        <v>53</v>
      </c>
      <c r="BR3" s="32" t="s">
        <v>55</v>
      </c>
      <c r="BS3" s="5" t="s">
        <v>35</v>
      </c>
      <c r="BT3" s="5" t="s">
        <v>8</v>
      </c>
      <c r="BU3" s="4" t="s">
        <v>40</v>
      </c>
      <c r="BV3" s="32" t="s">
        <v>52</v>
      </c>
      <c r="BW3" s="32" t="s">
        <v>53</v>
      </c>
      <c r="BX3" s="32" t="s">
        <v>55</v>
      </c>
      <c r="BY3" s="5" t="s">
        <v>35</v>
      </c>
      <c r="BZ3" s="5" t="s">
        <v>8</v>
      </c>
      <c r="CA3" s="4" t="s">
        <v>40</v>
      </c>
      <c r="CB3" s="32" t="s">
        <v>52</v>
      </c>
      <c r="CC3" s="32" t="s">
        <v>53</v>
      </c>
      <c r="CD3" s="32" t="s">
        <v>55</v>
      </c>
    </row>
    <row r="4" spans="1:82" x14ac:dyDescent="0.25">
      <c r="A4" s="1" t="s">
        <v>44</v>
      </c>
      <c r="B4" s="1">
        <v>1093798</v>
      </c>
      <c r="C4" s="1">
        <v>528834</v>
      </c>
      <c r="D4" s="1">
        <v>521316</v>
      </c>
      <c r="E4" s="1">
        <v>113958</v>
      </c>
      <c r="G4" s="6">
        <v>1</v>
      </c>
      <c r="H4" s="6">
        <v>10</v>
      </c>
      <c r="I4" s="6">
        <v>150</v>
      </c>
      <c r="J4" s="2" t="s">
        <v>11</v>
      </c>
      <c r="K4" s="2">
        <f>0.2617-A12</f>
        <v>0.17069999999999999</v>
      </c>
      <c r="L4" s="2">
        <v>2080</v>
      </c>
      <c r="M4" s="2">
        <f>(L4/K4)/(I4/H4*B9)*100</f>
        <v>7.6856157447490525E-2</v>
      </c>
      <c r="N4" s="22">
        <v>21796</v>
      </c>
      <c r="O4" s="23">
        <f>N4/$B$14</f>
        <v>363.26666666666665</v>
      </c>
      <c r="P4" s="23">
        <f t="shared" ref="P4:P15" si="0">(M4*$N$20*O4)/1000</f>
        <v>1.0609326448928189</v>
      </c>
      <c r="Q4" s="2">
        <f>0.1785-A12</f>
        <v>8.7499999999999994E-2</v>
      </c>
      <c r="R4" s="2">
        <v>2190</v>
      </c>
      <c r="S4" s="2">
        <f t="shared" ref="S4:S15" si="1">(R4/Q4)/(I4/H4*$B$9)*100</f>
        <v>0.15786465883004247</v>
      </c>
      <c r="T4" s="22">
        <v>21796</v>
      </c>
      <c r="U4" s="23">
        <f>T4/$B$14</f>
        <v>363.26666666666665</v>
      </c>
      <c r="V4" s="23">
        <f t="shared" ref="V4:V15" si="2">(S4*U4*$O$20)/1000</f>
        <v>2.0644908623157634</v>
      </c>
      <c r="W4" s="2">
        <f>0.2642-A12</f>
        <v>0.17319999999999999</v>
      </c>
      <c r="X4" s="2">
        <v>2390</v>
      </c>
      <c r="Y4" s="2">
        <f>(X4/W4)/(I4/H4*B9)*100</f>
        <v>8.7035988636761222E-2</v>
      </c>
      <c r="Z4" s="22">
        <v>21796</v>
      </c>
      <c r="AA4" s="23">
        <f>Z4/$B$14</f>
        <v>363.26666666666665</v>
      </c>
      <c r="AB4" s="23">
        <f t="shared" ref="AB4:AB15" si="3">(Y4*AA4*$P$20)/1000</f>
        <v>1.0749872980518804</v>
      </c>
      <c r="AC4" s="2">
        <f>0.2002-A12</f>
        <v>0.10919999999999999</v>
      </c>
      <c r="AD4" s="2">
        <v>2096</v>
      </c>
      <c r="AE4" s="2">
        <f>(AD4/AC4)/(I4/H4*C9)*100</f>
        <v>0.24271834218453076</v>
      </c>
      <c r="AF4" s="22">
        <v>21796</v>
      </c>
      <c r="AG4" s="23">
        <f>AF4/$B$14</f>
        <v>363.26666666666665</v>
      </c>
      <c r="AH4" s="2">
        <f t="shared" ref="AH4:AH15" si="4">(AE4*AG4*$Q$20)/1000</f>
        <v>2.8214874593354837</v>
      </c>
      <c r="AI4" s="2">
        <f>0.2134-A12</f>
        <v>0.12240000000000001</v>
      </c>
      <c r="AJ4" s="2">
        <v>691</v>
      </c>
      <c r="AK4" s="2">
        <f>(AJ4/AI4)/(I4/H4*C9)*100</f>
        <v>7.1388883002663689E-2</v>
      </c>
      <c r="AL4" s="22">
        <v>21796</v>
      </c>
      <c r="AM4" s="23">
        <f>AL4/$B$14</f>
        <v>363.26666666666665</v>
      </c>
      <c r="AN4" s="2">
        <f t="shared" ref="AN4:AN15" si="5">(AK4*AM4*$R$20)/1000</f>
        <v>0.85579565165933169</v>
      </c>
      <c r="AO4" s="2">
        <f>0.1822-A12</f>
        <v>9.1200000000000003E-2</v>
      </c>
      <c r="AP4" s="2">
        <v>848</v>
      </c>
      <c r="AQ4" s="2">
        <f>(AP4/AO4)/(I4/H4*C9)*100</f>
        <v>0.11758041024065807</v>
      </c>
      <c r="AR4" s="22">
        <v>21796</v>
      </c>
      <c r="AS4" s="23">
        <f>AR4/$B$14</f>
        <v>363.26666666666665</v>
      </c>
      <c r="AT4" s="2">
        <f t="shared" ref="AT4:AT15" si="6">(AQ4*AS4*$S$20)/1000</f>
        <v>1.5376695729632299</v>
      </c>
      <c r="AU4" s="7">
        <f>0.1876-A12</f>
        <v>9.6599999999999991E-2</v>
      </c>
      <c r="AV4" s="2">
        <v>463</v>
      </c>
      <c r="AW4" s="8">
        <f>(AV4/AU4)/(I4/H4*D9)*100</f>
        <v>6.1546125222300026E-2</v>
      </c>
      <c r="AX4" s="22">
        <v>21796</v>
      </c>
      <c r="AY4" s="23">
        <f>AX4/$B$14</f>
        <v>363.26666666666665</v>
      </c>
      <c r="AZ4" s="8">
        <f t="shared" ref="AZ4:AZ15" si="7">(AW4*AY4*$T$20)/1000</f>
        <v>0.87194857447441332</v>
      </c>
      <c r="BA4" s="7">
        <f>0.1748-A12</f>
        <v>8.3800000000000013E-2</v>
      </c>
      <c r="BB4" s="2">
        <v>409</v>
      </c>
      <c r="BC4" s="8">
        <f>(BB4/BA4)/(I4/H4*D9)*100</f>
        <v>6.267237328046156E-2</v>
      </c>
      <c r="BD4" s="22">
        <v>21796</v>
      </c>
      <c r="BE4" s="23">
        <f>BD4/$B$14</f>
        <v>363.26666666666665</v>
      </c>
      <c r="BF4" s="8">
        <f t="shared" ref="BF4:BF15" si="8">(BC4*BE4*$U$20)/1000</f>
        <v>0.81960422881256412</v>
      </c>
      <c r="BG4" s="7">
        <f>0.2284-A12</f>
        <v>0.13739999999999999</v>
      </c>
      <c r="BH4" s="2">
        <v>1484</v>
      </c>
      <c r="BI4" s="8">
        <f>(BH4/BG4)/(I4/H4*D9)*100</f>
        <v>0.13868963964473965</v>
      </c>
      <c r="BJ4" s="22">
        <v>21796</v>
      </c>
      <c r="BK4" s="23">
        <f>BJ4/$B$14</f>
        <v>363.26666666666665</v>
      </c>
      <c r="BL4" s="34">
        <f t="shared" ref="BL4:BL15" si="9">(BI4*BK4*$V$20)/1000</f>
        <v>1.6122023390382643</v>
      </c>
      <c r="BM4" s="11">
        <f>0.2064-A13</f>
        <v>0.1139</v>
      </c>
      <c r="BN4" s="1">
        <v>74</v>
      </c>
      <c r="BO4" s="12">
        <f>(BN4/BM4)/(I4/H4*E9)*100</f>
        <v>3.8620891919946082E-2</v>
      </c>
      <c r="BP4" s="22">
        <v>21796</v>
      </c>
      <c r="BQ4" s="23">
        <f>BP4/$B$14</f>
        <v>363.26666666666665</v>
      </c>
      <c r="BR4" s="12">
        <f t="shared" ref="BR4:BR15" si="10">(BO4*BQ4*$W$20)/1000</f>
        <v>0.43492016281502482</v>
      </c>
      <c r="BS4" s="2">
        <f>0.2531-A13</f>
        <v>0.16059999999999999</v>
      </c>
      <c r="BT4" s="1">
        <v>247</v>
      </c>
      <c r="BU4" s="2">
        <f t="shared" ref="BU4:BU16" si="11">(BT4/BS4)/(I4/H4*$E$9)*100</f>
        <v>9.1425157235655058E-2</v>
      </c>
      <c r="BV4" s="22">
        <v>21796</v>
      </c>
      <c r="BW4" s="23">
        <f>BV4/$B$14</f>
        <v>363.26666666666665</v>
      </c>
      <c r="BX4" s="2">
        <f t="shared" ref="BX4:BX15" si="12">(BU4*BW4*$X$20)/1000</f>
        <v>1.0627747877911133</v>
      </c>
      <c r="BY4" s="2">
        <f>0.1906-A13</f>
        <v>9.8099999999999993E-2</v>
      </c>
      <c r="BZ4" s="1">
        <v>42</v>
      </c>
      <c r="CA4" s="1">
        <f t="shared" ref="CA4:CA16" si="13">(BZ4/BY4)/(I4/H4*$E$9)*100</f>
        <v>2.5450398485637668E-2</v>
      </c>
      <c r="CB4" s="22">
        <v>21796</v>
      </c>
      <c r="CC4" s="23">
        <f>CB4/$B$14</f>
        <v>363.26666666666665</v>
      </c>
      <c r="CD4" s="1">
        <f t="shared" ref="CD4:CD15" si="14">(CA4*CC4*$Y$20)/1000</f>
        <v>0.33283013123577515</v>
      </c>
    </row>
    <row r="5" spans="1:82" x14ac:dyDescent="0.25">
      <c r="A5" s="1" t="s">
        <v>43</v>
      </c>
      <c r="B5" s="1">
        <v>1019123</v>
      </c>
      <c r="C5" s="1">
        <v>525958</v>
      </c>
      <c r="D5" s="1">
        <v>516384</v>
      </c>
      <c r="E5" s="1">
        <v>110805</v>
      </c>
      <c r="G5" s="6">
        <v>2</v>
      </c>
      <c r="H5" s="6">
        <v>10</v>
      </c>
      <c r="I5" s="6">
        <v>150</v>
      </c>
      <c r="J5" s="2" t="s">
        <v>12</v>
      </c>
      <c r="K5" s="2">
        <f>0.1567-A12</f>
        <v>6.5700000000000008E-2</v>
      </c>
      <c r="L5" s="2">
        <v>123727</v>
      </c>
      <c r="M5" s="2">
        <f>(L5/K5)/(I5/H5*B9)*100</f>
        <v>11.878127063434581</v>
      </c>
      <c r="N5" s="22">
        <v>3778</v>
      </c>
      <c r="O5" s="23">
        <f t="shared" ref="O5:O14" si="15">N5/$B$14</f>
        <v>62.966666666666669</v>
      </c>
      <c r="P5" s="23">
        <f t="shared" si="0"/>
        <v>28.421190562248704</v>
      </c>
      <c r="Q5" s="2">
        <f>0.2245-A12</f>
        <v>0.13350000000000001</v>
      </c>
      <c r="R5" s="2">
        <v>214162</v>
      </c>
      <c r="S5" s="2">
        <f t="shared" si="1"/>
        <v>10.118357081495597</v>
      </c>
      <c r="T5" s="22">
        <v>3778</v>
      </c>
      <c r="U5" s="23">
        <f t="shared" ref="U5:U15" si="16">T5/$B$14</f>
        <v>62.966666666666669</v>
      </c>
      <c r="V5" s="23">
        <f t="shared" si="2"/>
        <v>22.93629183233422</v>
      </c>
      <c r="W5" s="2">
        <f>0.1605-A12</f>
        <v>6.9500000000000006E-2</v>
      </c>
      <c r="X5" s="2">
        <v>149357</v>
      </c>
      <c r="Y5" s="2">
        <f>(X5/W5)/(I5/H5*B9)*100</f>
        <v>13.554691283314488</v>
      </c>
      <c r="Z5" s="22">
        <v>3778</v>
      </c>
      <c r="AA5" s="23">
        <f t="shared" ref="AA5:AA15" si="17">Z5/$B$14</f>
        <v>62.966666666666669</v>
      </c>
      <c r="AB5" s="23">
        <f t="shared" si="3"/>
        <v>29.018786745405212</v>
      </c>
      <c r="AC5" s="2">
        <f>0.1334-A12</f>
        <v>4.2399999999999993E-2</v>
      </c>
      <c r="AD5" s="2">
        <v>66169</v>
      </c>
      <c r="AE5" s="8">
        <f>(AD5/AC5)/(I5/H5*C9)*100</f>
        <v>19.734342978693661</v>
      </c>
      <c r="AF5" s="22">
        <v>3778</v>
      </c>
      <c r="AG5" s="23">
        <f t="shared" ref="AG5:AG15" si="18">AF5/$B$14</f>
        <v>62.966666666666669</v>
      </c>
      <c r="AH5" s="2">
        <f t="shared" si="4"/>
        <v>39.763385479202476</v>
      </c>
      <c r="AI5" s="2">
        <f>0.1468-A12</f>
        <v>5.5800000000000016E-2</v>
      </c>
      <c r="AJ5" s="2">
        <v>78608</v>
      </c>
      <c r="AK5" s="8">
        <f>(AJ5/AI5)/(I5/H5*C9)*100</f>
        <v>17.814207433125915</v>
      </c>
      <c r="AL5" s="22">
        <v>3778</v>
      </c>
      <c r="AM5" s="23">
        <f t="shared" ref="AM5:AM15" si="19">AL5/$B$14</f>
        <v>62.966666666666669</v>
      </c>
      <c r="AN5" s="2">
        <f t="shared" si="5"/>
        <v>37.016141625292335</v>
      </c>
      <c r="AO5" s="2">
        <f>0.1332-A12</f>
        <v>4.2200000000000015E-2</v>
      </c>
      <c r="AP5" s="2">
        <v>120285</v>
      </c>
      <c r="AQ5" s="2">
        <f>(AP5/AO5)/(I5/H5*C9)*100</f>
        <v>36.043999812682657</v>
      </c>
      <c r="AR5" s="22">
        <v>3778</v>
      </c>
      <c r="AS5" s="23">
        <f t="shared" ref="AS5:AS15" si="20">AR5/$B$14</f>
        <v>62.966666666666669</v>
      </c>
      <c r="AT5" s="2">
        <f t="shared" si="6"/>
        <v>81.704538775389054</v>
      </c>
      <c r="AU5" s="7">
        <f>0.1563-A12</f>
        <v>6.5299999999999997E-2</v>
      </c>
      <c r="AV5" s="2">
        <v>74828</v>
      </c>
      <c r="AW5" s="8">
        <f>(AV5/AU5)/(I5/H5*D9)*100</f>
        <v>14.714577876349729</v>
      </c>
      <c r="AX5" s="22">
        <v>3778</v>
      </c>
      <c r="AY5" s="23">
        <f t="shared" ref="AY5:AY15" si="21">AX5/$B$14</f>
        <v>62.966666666666669</v>
      </c>
      <c r="AZ5" s="8">
        <f t="shared" si="7"/>
        <v>36.134588890952031</v>
      </c>
      <c r="BA5" s="7">
        <f>0.1618-A12</f>
        <v>7.0800000000000002E-2</v>
      </c>
      <c r="BB5" s="2">
        <v>61151</v>
      </c>
      <c r="BC5" s="8">
        <f>(BB5/BA5)/(I5/H5*D9)*100</f>
        <v>11.090909390827834</v>
      </c>
      <c r="BD5" s="22">
        <v>3778</v>
      </c>
      <c r="BE5" s="23">
        <f t="shared" ref="BE5:BE15" si="22">BD5/$B$14</f>
        <v>62.966666666666669</v>
      </c>
      <c r="BF5" s="8">
        <f t="shared" si="8"/>
        <v>25.140873407128531</v>
      </c>
      <c r="BG5" s="7">
        <f>0.1542-A12</f>
        <v>6.3200000000000006E-2</v>
      </c>
      <c r="BH5" s="2">
        <v>72465</v>
      </c>
      <c r="BI5" s="8">
        <f>(BH5/BG5)/(I5/H5*D9)*100</f>
        <v>14.723398602434646</v>
      </c>
      <c r="BJ5" s="22">
        <v>3778</v>
      </c>
      <c r="BK5" s="23">
        <f t="shared" ref="BK5:BK15" si="23">BJ5/$B$14</f>
        <v>62.966666666666669</v>
      </c>
      <c r="BL5" s="34">
        <f t="shared" si="9"/>
        <v>29.666666623998982</v>
      </c>
      <c r="BM5" s="11">
        <f>0.1316-A13</f>
        <v>3.9099999999999996E-2</v>
      </c>
      <c r="BN5" s="1">
        <v>4440</v>
      </c>
      <c r="BO5" s="12">
        <f>(BN5/BM5)/(I5/H5*E9)*100</f>
        <v>6.7502602399210119</v>
      </c>
      <c r="BP5" s="22">
        <v>3778</v>
      </c>
      <c r="BQ5" s="23">
        <f t="shared" ref="BQ5:BQ15" si="24">BP5/$B$14</f>
        <v>62.966666666666669</v>
      </c>
      <c r="BR5" s="12">
        <f t="shared" si="10"/>
        <v>13.17628297965115</v>
      </c>
      <c r="BS5" s="2">
        <f>0.1857-A13</f>
        <v>9.3200000000000005E-2</v>
      </c>
      <c r="BT5" s="1">
        <v>9867</v>
      </c>
      <c r="BU5" s="2">
        <f t="shared" si="11"/>
        <v>6.2933736792992248</v>
      </c>
      <c r="BV5" s="22">
        <v>3778</v>
      </c>
      <c r="BW5" s="23">
        <f t="shared" ref="BW5:BW15" si="25">BV5/$B$14</f>
        <v>62.966666666666669</v>
      </c>
      <c r="BX5" s="2">
        <f t="shared" si="12"/>
        <v>12.680728405542652</v>
      </c>
      <c r="BY5" s="2">
        <f>0.1535-A13</f>
        <v>6.0999999999999999E-2</v>
      </c>
      <c r="BZ5" s="1">
        <v>7937</v>
      </c>
      <c r="CA5" s="1">
        <f t="shared" si="13"/>
        <v>7.7346532528367113</v>
      </c>
      <c r="CB5" s="22">
        <v>3778</v>
      </c>
      <c r="CC5" s="23">
        <f t="shared" ref="CC5:CC15" si="26">CB5/$B$14</f>
        <v>62.966666666666669</v>
      </c>
      <c r="CD5" s="1">
        <f t="shared" si="14"/>
        <v>17.532911993530259</v>
      </c>
    </row>
    <row r="6" spans="1:82" x14ac:dyDescent="0.25">
      <c r="A6" s="1" t="s">
        <v>44</v>
      </c>
      <c r="B6" s="1">
        <v>998095</v>
      </c>
      <c r="C6" s="1">
        <v>526195</v>
      </c>
      <c r="D6" s="1">
        <v>519662</v>
      </c>
      <c r="E6" s="1">
        <v>109251</v>
      </c>
      <c r="G6" s="6">
        <v>3</v>
      </c>
      <c r="H6" s="6">
        <v>10</v>
      </c>
      <c r="I6" s="6">
        <v>150</v>
      </c>
      <c r="J6" s="2" t="s">
        <v>13</v>
      </c>
      <c r="K6" s="2">
        <f>19.1628-18.7677</f>
        <v>0.39509999999999934</v>
      </c>
      <c r="L6" s="2">
        <v>16977</v>
      </c>
      <c r="M6" s="2">
        <f>(L6/K6)/(I6/H6*B9)*100</f>
        <v>0.27102089336818153</v>
      </c>
      <c r="N6" s="22">
        <v>4354</v>
      </c>
      <c r="O6" s="23">
        <f t="shared" si="15"/>
        <v>72.566666666666663</v>
      </c>
      <c r="P6" s="23">
        <f t="shared" si="0"/>
        <v>0.74734914749253945</v>
      </c>
      <c r="Q6" s="2">
        <f>18.0615-17.5706</f>
        <v>0.49089999999999989</v>
      </c>
      <c r="R6" s="2">
        <v>14889</v>
      </c>
      <c r="S6" s="2">
        <f t="shared" si="1"/>
        <v>0.1913028108985769</v>
      </c>
      <c r="T6" s="22">
        <v>4354</v>
      </c>
      <c r="U6" s="23">
        <f t="shared" si="16"/>
        <v>72.566666666666663</v>
      </c>
      <c r="V6" s="23">
        <f t="shared" si="2"/>
        <v>0.49975946319144227</v>
      </c>
      <c r="W6" s="2">
        <f>19.3175-18.8638</f>
        <v>0.45369999999999777</v>
      </c>
      <c r="X6" s="2">
        <v>25463</v>
      </c>
      <c r="Y6" s="8">
        <f>(X6/W6)/(I6/H6*B9)*100</f>
        <v>0.35398890017599749</v>
      </c>
      <c r="Z6" s="22">
        <v>4354</v>
      </c>
      <c r="AA6" s="23">
        <f t="shared" si="17"/>
        <v>72.566666666666663</v>
      </c>
      <c r="AB6" s="23">
        <f t="shared" si="3"/>
        <v>0.87338501377423272</v>
      </c>
      <c r="AC6" s="2">
        <f>19.1838-18.7193</f>
        <v>0.46450000000000102</v>
      </c>
      <c r="AD6" s="2">
        <v>8688</v>
      </c>
      <c r="AE6" s="2">
        <f>(AD6/AC6)/(I6/H6*C9)*100</f>
        <v>0.23652009845334848</v>
      </c>
      <c r="AF6" s="22">
        <v>4354</v>
      </c>
      <c r="AG6" s="23">
        <f t="shared" si="18"/>
        <v>72.566666666666663</v>
      </c>
      <c r="AH6" s="2">
        <f t="shared" si="4"/>
        <v>0.54923120462180219</v>
      </c>
      <c r="AI6" s="2">
        <f>18.1665-17.5107</f>
        <v>0.65579999999999927</v>
      </c>
      <c r="AJ6" s="2">
        <v>8829</v>
      </c>
      <c r="AK6" s="2">
        <f>(AJ6/AI6)/(I6/H6*C9)*100</f>
        <v>0.1702448807875214</v>
      </c>
      <c r="AL6" s="22">
        <v>4354</v>
      </c>
      <c r="AM6" s="23">
        <f t="shared" si="19"/>
        <v>72.566666666666663</v>
      </c>
      <c r="AN6" s="2">
        <f t="shared" si="5"/>
        <v>0.40768541602187747</v>
      </c>
      <c r="AO6" s="2">
        <f>18.0302-17.5383</f>
        <v>0.49190000000000111</v>
      </c>
      <c r="AP6" s="2">
        <v>13589</v>
      </c>
      <c r="AQ6" s="2">
        <f>(AP6/AO6)/(I6/H6*C9)*100</f>
        <v>0.3493370377524847</v>
      </c>
      <c r="AR6" s="22">
        <v>4354</v>
      </c>
      <c r="AS6" s="23">
        <f t="shared" si="20"/>
        <v>72.566666666666663</v>
      </c>
      <c r="AT6" s="2">
        <f t="shared" si="6"/>
        <v>0.91260807742459094</v>
      </c>
      <c r="AU6" s="7">
        <f>18.0177-17.4896</f>
        <v>0.52810000000000201</v>
      </c>
      <c r="AV6" s="2">
        <v>5091</v>
      </c>
      <c r="AW6" s="8">
        <f>(AV6/AU6)/(I6/H6*D9)*100</f>
        <v>0.12378949210217298</v>
      </c>
      <c r="AX6" s="22">
        <v>4354</v>
      </c>
      <c r="AY6" s="23">
        <f t="shared" si="21"/>
        <v>72.566666666666663</v>
      </c>
      <c r="AZ6" s="8">
        <f t="shared" si="7"/>
        <v>0.35033664159835975</v>
      </c>
      <c r="BA6" s="7">
        <f>17.7954-17.3523</f>
        <v>0.44310000000000116</v>
      </c>
      <c r="BB6" s="2">
        <v>5997</v>
      </c>
      <c r="BC6" s="8">
        <f>(BB6/BA6)/(I6/H6*D9)*100</f>
        <v>0.17379174757735033</v>
      </c>
      <c r="BD6" s="22">
        <v>4354</v>
      </c>
      <c r="BE6" s="23">
        <f t="shared" si="22"/>
        <v>72.566666666666663</v>
      </c>
      <c r="BF6" s="8">
        <f t="shared" si="8"/>
        <v>0.45401356137107002</v>
      </c>
      <c r="BG6" s="7">
        <f>19.6701-19.0591</f>
        <v>0.61100000000000065</v>
      </c>
      <c r="BH6" s="2">
        <v>9583</v>
      </c>
      <c r="BI6" s="8">
        <f>(BH6/BG6)/(I6/H6*D9)*100</f>
        <v>0.20139891633696147</v>
      </c>
      <c r="BJ6" s="22">
        <v>4354</v>
      </c>
      <c r="BK6" s="23">
        <f t="shared" si="23"/>
        <v>72.566666666666663</v>
      </c>
      <c r="BL6" s="34">
        <f t="shared" si="9"/>
        <v>0.46767513692326945</v>
      </c>
      <c r="BM6" s="11">
        <f>18.012-17.4899</f>
        <v>0.52210000000000178</v>
      </c>
      <c r="BN6" s="1">
        <v>270</v>
      </c>
      <c r="BO6" s="12">
        <f>(BN6/BM6)/(I6/H6*E9)*100</f>
        <v>3.0741451860575995E-2</v>
      </c>
      <c r="BP6" s="22">
        <v>4354</v>
      </c>
      <c r="BQ6" s="23">
        <f t="shared" si="24"/>
        <v>72.566666666666663</v>
      </c>
      <c r="BR6" s="12">
        <f t="shared" si="10"/>
        <v>6.9154945390489733E-2</v>
      </c>
      <c r="BS6" s="2">
        <f>19.3851-18.7243</f>
        <v>0.66080000000000183</v>
      </c>
      <c r="BT6" s="1">
        <v>983</v>
      </c>
      <c r="BU6" s="2">
        <f t="shared" si="11"/>
        <v>8.8429625774189669E-2</v>
      </c>
      <c r="BV6" s="22">
        <v>4354</v>
      </c>
      <c r="BW6" s="23">
        <f t="shared" si="25"/>
        <v>72.566666666666663</v>
      </c>
      <c r="BX6" s="2">
        <f t="shared" si="12"/>
        <v>0.2053453816644383</v>
      </c>
      <c r="BY6" s="2">
        <f>17.6951-17.5062</f>
        <v>0.18890000000000029</v>
      </c>
      <c r="BZ6" s="1">
        <v>151</v>
      </c>
      <c r="CA6" s="1">
        <f t="shared" si="13"/>
        <v>4.7518124707907776E-2</v>
      </c>
      <c r="CB6" s="22">
        <v>4354</v>
      </c>
      <c r="CC6" s="23">
        <f t="shared" si="26"/>
        <v>72.566666666666663</v>
      </c>
      <c r="CD6" s="1">
        <f t="shared" si="14"/>
        <v>0.12413634898693826</v>
      </c>
    </row>
    <row r="7" spans="1:82" x14ac:dyDescent="0.25">
      <c r="A7" s="1" t="s">
        <v>4</v>
      </c>
      <c r="B7" s="1">
        <f>(B3+B4)/2</f>
        <v>1105317.5</v>
      </c>
      <c r="C7" s="1">
        <f>(C3+C4)/2</f>
        <v>528322</v>
      </c>
      <c r="D7" s="1">
        <f>(D3+D4)/2</f>
        <v>520322.5</v>
      </c>
      <c r="E7" s="1">
        <f>(E3+E4)/2</f>
        <v>114269.5</v>
      </c>
      <c r="G7" s="6">
        <v>4</v>
      </c>
      <c r="H7" s="6">
        <v>10</v>
      </c>
      <c r="I7" s="6">
        <v>150</v>
      </c>
      <c r="J7" s="2" t="s">
        <v>14</v>
      </c>
      <c r="K7" s="2">
        <f>0.2465-0.091</f>
        <v>0.1555</v>
      </c>
      <c r="L7" s="2">
        <v>4280</v>
      </c>
      <c r="M7" s="2">
        <f>(L7/K7)/(I7/H7*B9)*100</f>
        <v>0.17360500002011744</v>
      </c>
      <c r="N7" s="22">
        <v>772</v>
      </c>
      <c r="O7" s="23">
        <f t="shared" si="15"/>
        <v>12.866666666666667</v>
      </c>
      <c r="P7" s="23">
        <f t="shared" si="0"/>
        <v>8.4881271343169432E-2</v>
      </c>
      <c r="Q7" s="2">
        <f>0.4006-A12</f>
        <v>0.30959999999999999</v>
      </c>
      <c r="R7" s="2">
        <v>6950</v>
      </c>
      <c r="S7" s="2">
        <f t="shared" si="1"/>
        <v>0.14159004054579125</v>
      </c>
      <c r="T7" s="22">
        <v>772</v>
      </c>
      <c r="U7" s="23">
        <f t="shared" si="16"/>
        <v>12.866666666666667</v>
      </c>
      <c r="V7" s="23">
        <f t="shared" si="2"/>
        <v>6.55845067808105E-2</v>
      </c>
      <c r="W7" s="2">
        <f>0.2681-A12</f>
        <v>0.17710000000000001</v>
      </c>
      <c r="X7" s="2">
        <v>9763</v>
      </c>
      <c r="Y7" s="2">
        <f>(X7/W7)/(I7/H7*B9)*100</f>
        <v>0.34770711826973671</v>
      </c>
      <c r="Z7" s="22">
        <v>772</v>
      </c>
      <c r="AA7" s="23">
        <f t="shared" si="17"/>
        <v>12.866666666666667</v>
      </c>
      <c r="AB7" s="23">
        <f t="shared" si="3"/>
        <v>0.15211027400573415</v>
      </c>
      <c r="AC7" s="2">
        <f>0.8101-A12</f>
        <v>0.71910000000000007</v>
      </c>
      <c r="AD7" s="2">
        <v>50759</v>
      </c>
      <c r="AE7" s="8">
        <f>(AD7/AC7)/(I7/H7*C9)*100</f>
        <v>0.89260173349316896</v>
      </c>
      <c r="AF7" s="22">
        <v>772</v>
      </c>
      <c r="AG7" s="23">
        <f t="shared" si="18"/>
        <v>12.866666666666667</v>
      </c>
      <c r="AH7" s="2">
        <f t="shared" si="4"/>
        <v>0.36751388707025412</v>
      </c>
      <c r="AI7" s="3">
        <f>0.3241-A12</f>
        <v>0.2331</v>
      </c>
      <c r="AJ7" s="2">
        <v>3863</v>
      </c>
      <c r="AK7" s="8">
        <f>(AJ7/AI7)/(I7/H7*C9)*100</f>
        <v>0.20956386125722007</v>
      </c>
      <c r="AL7" s="22">
        <v>772</v>
      </c>
      <c r="AM7" s="23">
        <f t="shared" si="19"/>
        <v>12.866666666666667</v>
      </c>
      <c r="AN7" s="2">
        <f t="shared" si="5"/>
        <v>8.8980815489815637E-2</v>
      </c>
      <c r="AO7" s="2">
        <f>0.4478-A12</f>
        <v>0.35680000000000001</v>
      </c>
      <c r="AP7" s="2">
        <v>8490</v>
      </c>
      <c r="AQ7" s="2">
        <f>(AP7/AO7)/(I7/H7*C9)*100</f>
        <v>0.3008962683378546</v>
      </c>
      <c r="AR7" s="22">
        <v>772</v>
      </c>
      <c r="AS7" s="23">
        <f t="shared" si="20"/>
        <v>12.866666666666667</v>
      </c>
      <c r="AT7" s="2">
        <f t="shared" si="6"/>
        <v>0.13937515149409427</v>
      </c>
      <c r="AU7" s="7">
        <f>0.5635-A12</f>
        <v>0.47250000000000003</v>
      </c>
      <c r="AV7" s="2">
        <v>3957</v>
      </c>
      <c r="AW7" s="8">
        <f>(AV7/AU7)/(I7/H7*D9)*100</f>
        <v>0.10753778550720899</v>
      </c>
      <c r="AX7" s="22">
        <v>772</v>
      </c>
      <c r="AY7" s="23">
        <f t="shared" si="21"/>
        <v>12.866666666666667</v>
      </c>
      <c r="AZ7" s="8">
        <f t="shared" si="7"/>
        <v>5.396246076751747E-2</v>
      </c>
      <c r="BA7" s="7">
        <f>0.2371-A12</f>
        <v>0.14610000000000001</v>
      </c>
      <c r="BB7" s="2">
        <v>2341</v>
      </c>
      <c r="BC7" s="8">
        <f>(BB7/BA7)/(I7/H7*D9)*100</f>
        <v>0.20575388739991485</v>
      </c>
      <c r="BD7" s="22">
        <v>772</v>
      </c>
      <c r="BE7" s="23">
        <f t="shared" si="22"/>
        <v>12.866666666666667</v>
      </c>
      <c r="BF7" s="8">
        <f t="shared" si="8"/>
        <v>9.5305200643640564E-2</v>
      </c>
      <c r="BG7" s="7">
        <f>0.2179-A12</f>
        <v>0.12690000000000001</v>
      </c>
      <c r="BH7" s="2">
        <v>1225</v>
      </c>
      <c r="BI7" s="8">
        <f>(BH7/BG7)/(I7/H7*D9)*100</f>
        <v>0.12395707455200813</v>
      </c>
      <c r="BJ7" s="22">
        <v>772</v>
      </c>
      <c r="BK7" s="23">
        <f t="shared" si="23"/>
        <v>12.866666666666667</v>
      </c>
      <c r="BL7" s="34">
        <f t="shared" si="9"/>
        <v>5.103725949554682E-2</v>
      </c>
      <c r="BM7" s="11">
        <f>0.2598-A13</f>
        <v>0.16729999999999998</v>
      </c>
      <c r="BN7" s="1">
        <v>173</v>
      </c>
      <c r="BO7" s="12">
        <f t="shared" ref="BO7:BO15" si="27">(BN7/BM7)/(I7/H7*$E$9)*100</f>
        <v>6.1470177300444392E-2</v>
      </c>
      <c r="BP7" s="22">
        <v>772</v>
      </c>
      <c r="BQ7" s="23">
        <f t="shared" si="24"/>
        <v>12.866666666666667</v>
      </c>
      <c r="BR7" s="12">
        <f t="shared" si="10"/>
        <v>2.4518404719237254E-2</v>
      </c>
      <c r="BS7" s="2">
        <f>0.2889-A13</f>
        <v>0.19639999999999999</v>
      </c>
      <c r="BT7" s="1">
        <v>155</v>
      </c>
      <c r="BU7" s="2">
        <f t="shared" si="11"/>
        <v>4.6914221968451596E-2</v>
      </c>
      <c r="BV7" s="22">
        <v>772</v>
      </c>
      <c r="BW7" s="23">
        <f t="shared" si="25"/>
        <v>12.866666666666667</v>
      </c>
      <c r="BX7" s="2">
        <f t="shared" si="12"/>
        <v>1.9316148991810472E-2</v>
      </c>
      <c r="BY7" s="2">
        <f>0.2555-A13</f>
        <v>0.16300000000000001</v>
      </c>
      <c r="BZ7" s="1">
        <v>183</v>
      </c>
      <c r="CA7" s="1">
        <f t="shared" si="13"/>
        <v>6.6738707089353352E-2</v>
      </c>
      <c r="CB7" s="22">
        <v>772</v>
      </c>
      <c r="CC7" s="23">
        <f t="shared" si="26"/>
        <v>12.866666666666667</v>
      </c>
      <c r="CD7" s="1">
        <f t="shared" si="14"/>
        <v>3.0913369123788476E-2</v>
      </c>
    </row>
    <row r="8" spans="1:82" x14ac:dyDescent="0.25">
      <c r="A8" s="1" t="s">
        <v>5</v>
      </c>
      <c r="B8" s="1">
        <f>(B5+B6)/2</f>
        <v>1008609</v>
      </c>
      <c r="C8" s="1">
        <f>(C5+C6)/2</f>
        <v>526076.5</v>
      </c>
      <c r="D8" s="1">
        <f>(D5+D6)/2</f>
        <v>518023</v>
      </c>
      <c r="E8" s="1">
        <f>(E5+E6)/2</f>
        <v>110028</v>
      </c>
      <c r="G8" s="6">
        <v>5</v>
      </c>
      <c r="H8" s="6">
        <v>10</v>
      </c>
      <c r="I8" s="6">
        <v>150</v>
      </c>
      <c r="J8" s="2" t="s">
        <v>15</v>
      </c>
      <c r="K8" s="2">
        <f>0.2472-0.091</f>
        <v>0.15620000000000001</v>
      </c>
      <c r="L8" s="2">
        <v>92762</v>
      </c>
      <c r="M8" s="2">
        <f>(L8/K8)/(I8/H8*B9)*100</f>
        <v>3.7457425783281435</v>
      </c>
      <c r="N8" s="22">
        <v>1575</v>
      </c>
      <c r="O8" s="23">
        <f t="shared" si="15"/>
        <v>26.25</v>
      </c>
      <c r="P8" s="23">
        <f t="shared" si="0"/>
        <v>3.7363782218823229</v>
      </c>
      <c r="Q8" s="3">
        <f>0.4341-A12</f>
        <v>0.34309999999999996</v>
      </c>
      <c r="R8" s="2">
        <v>135970</v>
      </c>
      <c r="S8" s="2">
        <f t="shared" si="1"/>
        <v>2.4996041269543157</v>
      </c>
      <c r="T8" s="22">
        <v>1575</v>
      </c>
      <c r="U8" s="23">
        <f t="shared" si="16"/>
        <v>26.25</v>
      </c>
      <c r="V8" s="23">
        <f t="shared" si="2"/>
        <v>2.3621258999718284</v>
      </c>
      <c r="W8" s="2">
        <f>0.2211-A12</f>
        <v>0.13009999999999999</v>
      </c>
      <c r="X8" s="2">
        <v>52785</v>
      </c>
      <c r="Y8" s="2">
        <f>(X8/W8)/(I8/H8*B9)*100</f>
        <v>2.5590695124933109</v>
      </c>
      <c r="Z8" s="22">
        <v>1575</v>
      </c>
      <c r="AA8" s="23">
        <f t="shared" si="17"/>
        <v>26.25</v>
      </c>
      <c r="AB8" s="23">
        <f t="shared" si="3"/>
        <v>2.2839695399002804</v>
      </c>
      <c r="AC8" s="2">
        <f>0.3622-A12</f>
        <v>0.2712</v>
      </c>
      <c r="AD8" s="2">
        <v>29538</v>
      </c>
      <c r="AE8" s="2">
        <f>(AD8/AC8)/(I8/H8*C9)*100</f>
        <v>1.3772898855418809</v>
      </c>
      <c r="AF8" s="22">
        <v>1575</v>
      </c>
      <c r="AG8" s="23">
        <f t="shared" si="18"/>
        <v>26.25</v>
      </c>
      <c r="AH8" s="2">
        <f t="shared" si="4"/>
        <v>1.1569235038551799</v>
      </c>
      <c r="AI8" s="2">
        <f>0.2193-A12</f>
        <v>0.1283</v>
      </c>
      <c r="AJ8" s="2">
        <v>22648</v>
      </c>
      <c r="AK8" s="2">
        <f>(AJ8/AI8)/(I8/H8*C9)*100</f>
        <v>2.23222083375394</v>
      </c>
      <c r="AL8" s="22">
        <v>1575</v>
      </c>
      <c r="AM8" s="23">
        <f t="shared" si="19"/>
        <v>26.25</v>
      </c>
      <c r="AN8" s="2">
        <f t="shared" si="5"/>
        <v>1.9336612972393505</v>
      </c>
      <c r="AO8" s="2">
        <f>0.4102-A12</f>
        <v>0.31920000000000004</v>
      </c>
      <c r="AP8" s="2">
        <v>77933</v>
      </c>
      <c r="AQ8" s="2">
        <f>(AP8/AO8)/(I8/H8*C9)*100</f>
        <v>3.0873969377645567</v>
      </c>
      <c r="AR8" s="22">
        <v>1575</v>
      </c>
      <c r="AS8" s="23">
        <f t="shared" si="20"/>
        <v>26.25</v>
      </c>
      <c r="AT8" s="2">
        <f t="shared" si="6"/>
        <v>2.9175901061875056</v>
      </c>
      <c r="AU8" s="7">
        <f>0.4385-A12</f>
        <v>0.34750000000000003</v>
      </c>
      <c r="AV8" s="2">
        <v>39859</v>
      </c>
      <c r="AW8" s="8">
        <f>(AV8/AU8)/(I8/H8*D9)*100</f>
        <v>1.4728836502992024</v>
      </c>
      <c r="AX8" s="22">
        <v>1575</v>
      </c>
      <c r="AY8" s="23">
        <f t="shared" si="21"/>
        <v>26.25</v>
      </c>
      <c r="AZ8" s="8">
        <f t="shared" si="7"/>
        <v>1.5078646369938085</v>
      </c>
      <c r="BA8" s="7">
        <f>0.2984-A12</f>
        <v>0.2074</v>
      </c>
      <c r="BB8" s="2">
        <v>15442</v>
      </c>
      <c r="BC8" s="8">
        <f>(BB8/BA8)/(I8/H8*D9)*100</f>
        <v>0.95607430748019095</v>
      </c>
      <c r="BD8" s="22">
        <v>1575</v>
      </c>
      <c r="BE8" s="23">
        <f t="shared" si="22"/>
        <v>26.25</v>
      </c>
      <c r="BF8" s="8">
        <f t="shared" si="8"/>
        <v>0.90349022056878048</v>
      </c>
      <c r="BG8" s="7">
        <f>0.264-A12</f>
        <v>0.17300000000000001</v>
      </c>
      <c r="BH8" s="2">
        <v>31106</v>
      </c>
      <c r="BI8" s="8">
        <f>(BH8/BG8)/(I8/H8*D9)*100</f>
        <v>2.3088457320881148</v>
      </c>
      <c r="BJ8" s="22">
        <v>1575</v>
      </c>
      <c r="BK8" s="23">
        <f t="shared" si="23"/>
        <v>26.25</v>
      </c>
      <c r="BL8" s="34">
        <f t="shared" si="9"/>
        <v>1.9394304149540165</v>
      </c>
      <c r="BM8" s="11">
        <f>0.223-A13</f>
        <v>0.1305</v>
      </c>
      <c r="BN8" s="1">
        <v>1641</v>
      </c>
      <c r="BO8" s="12">
        <f t="shared" si="27"/>
        <v>0.74750202409318933</v>
      </c>
      <c r="BP8" s="22">
        <v>1575</v>
      </c>
      <c r="BQ8" s="23">
        <f t="shared" si="24"/>
        <v>26.25</v>
      </c>
      <c r="BR8" s="12">
        <f t="shared" si="10"/>
        <v>0.60827977210583284</v>
      </c>
      <c r="BS8" s="2">
        <f>0.2014-A13</f>
        <v>0.1089</v>
      </c>
      <c r="BT8" s="1">
        <v>1591</v>
      </c>
      <c r="BU8" s="2">
        <f t="shared" si="11"/>
        <v>0.86847356453774072</v>
      </c>
      <c r="BV8" s="22">
        <v>1575</v>
      </c>
      <c r="BW8" s="23">
        <f t="shared" si="25"/>
        <v>26.25</v>
      </c>
      <c r="BX8" s="2">
        <f t="shared" si="12"/>
        <v>0.72951779421170215</v>
      </c>
      <c r="BY8" s="2">
        <f>0.2881-A13</f>
        <v>0.19560000000000002</v>
      </c>
      <c r="BZ8" s="1">
        <v>1460</v>
      </c>
      <c r="CA8" s="1">
        <f t="shared" si="13"/>
        <v>0.44370907263413423</v>
      </c>
      <c r="CB8" s="22">
        <v>1575</v>
      </c>
      <c r="CC8" s="23">
        <f t="shared" si="26"/>
        <v>26.25</v>
      </c>
      <c r="CD8" s="1">
        <f t="shared" si="14"/>
        <v>0.41930507363925684</v>
      </c>
    </row>
    <row r="9" spans="1:82" x14ac:dyDescent="0.25">
      <c r="A9" s="1" t="s">
        <v>6</v>
      </c>
      <c r="B9" s="1">
        <f>SUM(B7:B8)/2</f>
        <v>1056963.25</v>
      </c>
      <c r="C9" s="1">
        <f>SUM(C7:C8)/2</f>
        <v>527199.25</v>
      </c>
      <c r="D9" s="1">
        <f>SUM(D7:D8)/2</f>
        <v>519172.75</v>
      </c>
      <c r="E9" s="1">
        <f>(E7+E8)/2</f>
        <v>112148.75</v>
      </c>
      <c r="G9" s="6">
        <v>6</v>
      </c>
      <c r="H9" s="6">
        <v>10</v>
      </c>
      <c r="I9" s="6">
        <v>150</v>
      </c>
      <c r="J9" s="2" t="s">
        <v>17</v>
      </c>
      <c r="K9" s="2">
        <f>0.2672-0.091</f>
        <v>0.1762</v>
      </c>
      <c r="L9" s="2">
        <v>16100</v>
      </c>
      <c r="M9" s="2">
        <f>(L9/K9)/(I9/H9*B9)*100</f>
        <v>0.57632681346649017</v>
      </c>
      <c r="N9" s="22">
        <v>154</v>
      </c>
      <c r="O9" s="23">
        <f t="shared" si="15"/>
        <v>2.5666666666666669</v>
      </c>
      <c r="P9" s="23">
        <f t="shared" si="0"/>
        <v>5.6211075206765007E-2</v>
      </c>
      <c r="Q9" s="2">
        <f>0.3044-A12</f>
        <v>0.21340000000000001</v>
      </c>
      <c r="R9" s="2">
        <v>20006</v>
      </c>
      <c r="S9" s="2">
        <f t="shared" si="1"/>
        <v>0.59130929097169993</v>
      </c>
      <c r="T9" s="22">
        <v>154</v>
      </c>
      <c r="U9" s="23">
        <f t="shared" si="16"/>
        <v>2.5666666666666669</v>
      </c>
      <c r="V9" s="23">
        <f t="shared" si="2"/>
        <v>5.4636978485785082E-2</v>
      </c>
      <c r="W9" s="2">
        <f>0.2036-A12</f>
        <v>0.11260000000000001</v>
      </c>
      <c r="X9" s="2">
        <v>39185</v>
      </c>
      <c r="Y9" s="8">
        <f>(X9/W9)/(I9/H9*B9)*100</f>
        <v>2.1949787197674357</v>
      </c>
      <c r="Z9" s="22">
        <v>154</v>
      </c>
      <c r="AA9" s="23">
        <f t="shared" si="17"/>
        <v>2.5666666666666669</v>
      </c>
      <c r="AB9" s="23">
        <f t="shared" si="3"/>
        <v>0.19154847627837157</v>
      </c>
      <c r="AC9" s="2">
        <f>0.3099-A12</f>
        <v>0.21890000000000001</v>
      </c>
      <c r="AD9" s="3">
        <v>15023</v>
      </c>
      <c r="AE9" s="8">
        <f>(AD9/AC9)/(I9/H9*C9)*100</f>
        <v>0.8678503898013924</v>
      </c>
      <c r="AF9" s="22">
        <v>154</v>
      </c>
      <c r="AG9" s="23">
        <f t="shared" si="18"/>
        <v>2.5666666666666669</v>
      </c>
      <c r="AH9" s="2">
        <f t="shared" si="4"/>
        <v>7.1279445349021031E-2</v>
      </c>
      <c r="AI9" s="2">
        <f>0.2838-A12</f>
        <v>0.1928</v>
      </c>
      <c r="AJ9" s="2">
        <v>15997</v>
      </c>
      <c r="AK9" s="8">
        <f>(AJ9/AI9)/(I9/H9*C9)*100</f>
        <v>1.0492173714997359</v>
      </c>
      <c r="AL9" s="22">
        <v>154</v>
      </c>
      <c r="AM9" s="23">
        <f t="shared" si="19"/>
        <v>2.5666666666666669</v>
      </c>
      <c r="AN9" s="2">
        <f t="shared" si="5"/>
        <v>8.8868711366027642E-2</v>
      </c>
      <c r="AO9" s="2">
        <f>0.2608-A12</f>
        <v>0.16979999999999998</v>
      </c>
      <c r="AP9" s="2">
        <v>17420</v>
      </c>
      <c r="AQ9" s="2">
        <f>(AP9/AO9)/(I9/H9*C9)*100</f>
        <v>1.2973119601791123</v>
      </c>
      <c r="AR9" s="22">
        <v>154</v>
      </c>
      <c r="AS9" s="23">
        <f t="shared" si="20"/>
        <v>2.5666666666666669</v>
      </c>
      <c r="AT9" s="2">
        <f t="shared" si="6"/>
        <v>0.11987162512055</v>
      </c>
      <c r="AU9" s="7">
        <f>0.242-A12</f>
        <v>0.151</v>
      </c>
      <c r="AV9" s="2">
        <v>3848</v>
      </c>
      <c r="AW9" s="8">
        <f>(AV9/AU9)/(I9/H9*D9)*100</f>
        <v>0.32723139788068967</v>
      </c>
      <c r="AX9" s="22">
        <v>154</v>
      </c>
      <c r="AY9" s="23">
        <f t="shared" si="21"/>
        <v>2.5666666666666669</v>
      </c>
      <c r="AZ9" s="8">
        <f t="shared" si="7"/>
        <v>3.2755862927857038E-2</v>
      </c>
      <c r="BA9" s="7">
        <f>0.2804-A12</f>
        <v>0.18939999999999999</v>
      </c>
      <c r="BB9" s="2">
        <v>20500</v>
      </c>
      <c r="BC9" s="8">
        <f>(BB9/BA9)/(I9/H9*D9)*100</f>
        <v>1.3898589815025824</v>
      </c>
      <c r="BD9" s="22">
        <v>154</v>
      </c>
      <c r="BE9" s="23">
        <f t="shared" si="22"/>
        <v>2.5666666666666669</v>
      </c>
      <c r="BF9" s="8">
        <f t="shared" si="8"/>
        <v>0.12842296989083862</v>
      </c>
      <c r="BG9" s="7">
        <f>0.3332-A12</f>
        <v>0.2422</v>
      </c>
      <c r="BH9" s="2">
        <v>12428</v>
      </c>
      <c r="BI9" s="8">
        <f>(BH9/BG9)/(I9/H9*D9)*100</f>
        <v>0.65890675107216556</v>
      </c>
      <c r="BJ9" s="22">
        <v>154</v>
      </c>
      <c r="BK9" s="23">
        <f t="shared" si="23"/>
        <v>2.5666666666666669</v>
      </c>
      <c r="BL9" s="34">
        <f t="shared" si="9"/>
        <v>5.4118207821393864E-2</v>
      </c>
      <c r="BM9" s="11">
        <f>0.2539-A13</f>
        <v>0.16140000000000002</v>
      </c>
      <c r="BN9" s="1">
        <v>2679</v>
      </c>
      <c r="BO9" s="12">
        <f t="shared" si="27"/>
        <v>0.9866962708695618</v>
      </c>
      <c r="BP9" s="22">
        <v>154</v>
      </c>
      <c r="BQ9" s="23">
        <f t="shared" si="24"/>
        <v>2.5666666666666669</v>
      </c>
      <c r="BR9" s="12">
        <f t="shared" si="10"/>
        <v>7.8508133285521475E-2</v>
      </c>
      <c r="BS9" s="2">
        <v>0.43020000000000003</v>
      </c>
      <c r="BT9" s="1">
        <v>4189</v>
      </c>
      <c r="BU9" s="2">
        <f t="shared" si="11"/>
        <v>0.57883429960851984</v>
      </c>
      <c r="BV9" s="22">
        <v>154</v>
      </c>
      <c r="BW9" s="23">
        <f t="shared" si="25"/>
        <v>2.5666666666666669</v>
      </c>
      <c r="BX9" s="2">
        <f t="shared" si="12"/>
        <v>4.7541590474513097E-2</v>
      </c>
      <c r="BY9" s="2">
        <f>0.3514-A13</f>
        <v>0.25890000000000002</v>
      </c>
      <c r="BZ9" s="1">
        <v>2815</v>
      </c>
      <c r="CA9" s="1">
        <f t="shared" si="13"/>
        <v>0.64633943215863532</v>
      </c>
      <c r="CB9" s="22">
        <v>154</v>
      </c>
      <c r="CC9" s="23">
        <f t="shared" si="26"/>
        <v>2.5666666666666669</v>
      </c>
      <c r="CD9" s="1">
        <f t="shared" si="14"/>
        <v>5.9721763531457903E-2</v>
      </c>
    </row>
    <row r="10" spans="1:82" x14ac:dyDescent="0.25">
      <c r="G10" s="6">
        <v>7</v>
      </c>
      <c r="H10" s="6">
        <v>10</v>
      </c>
      <c r="I10" s="6">
        <v>150</v>
      </c>
      <c r="J10" s="2" t="s">
        <v>16</v>
      </c>
      <c r="K10" s="2">
        <f>0.4447-0.091</f>
        <v>0.35370000000000001</v>
      </c>
      <c r="L10" s="2">
        <v>114579</v>
      </c>
      <c r="M10" s="2">
        <f>(L10/K10)/(I10/H10*B9)*100</f>
        <v>2.0432373617293642</v>
      </c>
      <c r="N10" s="22">
        <v>271</v>
      </c>
      <c r="O10" s="23">
        <f t="shared" si="15"/>
        <v>4.5166666666666666</v>
      </c>
      <c r="P10" s="23">
        <f t="shared" si="0"/>
        <v>0.35068763918481655</v>
      </c>
      <c r="Q10" s="2">
        <f>0.3803-A12</f>
        <v>0.2893</v>
      </c>
      <c r="R10" s="2">
        <v>39161</v>
      </c>
      <c r="S10" s="2">
        <f t="shared" si="1"/>
        <v>0.85379615200726688</v>
      </c>
      <c r="T10" s="22">
        <v>271</v>
      </c>
      <c r="U10" s="23">
        <f t="shared" si="16"/>
        <v>4.5166666666666666</v>
      </c>
      <c r="V10" s="23">
        <f t="shared" si="2"/>
        <v>0.13882725431638157</v>
      </c>
      <c r="W10" s="2">
        <f>0.4049-A12</f>
        <v>0.31389999999999996</v>
      </c>
      <c r="X10" s="2">
        <v>90557</v>
      </c>
      <c r="Y10" s="2">
        <f>(X10/W10)/(I10/H10*B9)*100</f>
        <v>1.8196152354839377</v>
      </c>
      <c r="Z10" s="22">
        <v>271</v>
      </c>
      <c r="AA10" s="23">
        <f t="shared" si="17"/>
        <v>4.5166666666666666</v>
      </c>
      <c r="AB10" s="23">
        <f t="shared" si="3"/>
        <v>0.27943224632915009</v>
      </c>
      <c r="AC10" s="2">
        <f>0.3446-A12</f>
        <v>0.25360000000000005</v>
      </c>
      <c r="AD10" s="2">
        <v>42901</v>
      </c>
      <c r="AE10" s="2">
        <f>(AD10/AC10)/(I10/H10*C9)*100</f>
        <v>2.1392036132139816</v>
      </c>
      <c r="AF10" s="22">
        <v>271</v>
      </c>
      <c r="AG10" s="23">
        <f t="shared" si="18"/>
        <v>4.5166666666666666</v>
      </c>
      <c r="AH10" s="2">
        <f t="shared" si="4"/>
        <v>0.30918622889652742</v>
      </c>
      <c r="AI10" s="2">
        <f>0.3831-A12</f>
        <v>0.29210000000000003</v>
      </c>
      <c r="AJ10" s="2">
        <v>45552</v>
      </c>
      <c r="AK10" s="2">
        <f>(AJ10/AI10)/(I10/H10*C9)*100</f>
        <v>1.9720133470386851</v>
      </c>
      <c r="AL10" s="22">
        <v>271</v>
      </c>
      <c r="AM10" s="23">
        <f t="shared" si="19"/>
        <v>4.5166666666666666</v>
      </c>
      <c r="AN10" s="2">
        <f t="shared" si="5"/>
        <v>0.29392858937611599</v>
      </c>
      <c r="AO10" s="2">
        <f>0.3788-A12</f>
        <v>0.28780000000000006</v>
      </c>
      <c r="AP10" s="2">
        <v>272088</v>
      </c>
      <c r="AQ10" s="2">
        <f>(AP10/AO10)/(I10/H10*C9)*100</f>
        <v>11.955081907698805</v>
      </c>
      <c r="AR10" s="22">
        <v>271</v>
      </c>
      <c r="AS10" s="23">
        <f t="shared" si="20"/>
        <v>4.5166666666666666</v>
      </c>
      <c r="AT10" s="2">
        <f t="shared" si="6"/>
        <v>1.9438963181918256</v>
      </c>
      <c r="AU10" s="7">
        <f>0.4772-A12</f>
        <v>0.38619999999999999</v>
      </c>
      <c r="AV10" s="2">
        <v>52873</v>
      </c>
      <c r="AW10" s="8">
        <f>(AV10/AU10)/(I10/H10*D9)*100</f>
        <v>1.7579986406828203</v>
      </c>
      <c r="AX10" s="22">
        <v>271</v>
      </c>
      <c r="AY10" s="23">
        <f t="shared" si="21"/>
        <v>4.5166666666666666</v>
      </c>
      <c r="AZ10" s="8">
        <f t="shared" si="7"/>
        <v>0.30967146055627875</v>
      </c>
      <c r="BA10" s="7">
        <f>0.3761-A12</f>
        <v>0.28510000000000002</v>
      </c>
      <c r="BB10" s="2">
        <v>34259</v>
      </c>
      <c r="BC10" s="8">
        <f>(BB10/BA10)/(I10/H10*D9)*100</f>
        <v>1.5430298095966404</v>
      </c>
      <c r="BD10" s="22">
        <v>271</v>
      </c>
      <c r="BE10" s="23">
        <f t="shared" si="22"/>
        <v>4.5166666666666666</v>
      </c>
      <c r="BF10" s="8">
        <f t="shared" si="8"/>
        <v>0.2508966470404137</v>
      </c>
      <c r="BG10" s="7">
        <f>0.3911-A12</f>
        <v>0.30010000000000003</v>
      </c>
      <c r="BH10" s="2">
        <v>24680</v>
      </c>
      <c r="BI10" s="8">
        <f>(BH10/BG10)/(I10/H10*D9)*100</f>
        <v>1.0560294055256083</v>
      </c>
      <c r="BJ10" s="22">
        <v>271</v>
      </c>
      <c r="BK10" s="23">
        <f t="shared" si="23"/>
        <v>4.5166666666666666</v>
      </c>
      <c r="BL10" s="34">
        <f t="shared" si="9"/>
        <v>0.15263145007863457</v>
      </c>
      <c r="BM10" s="11">
        <f>0.3948-A13</f>
        <v>0.30230000000000001</v>
      </c>
      <c r="BN10" s="1">
        <v>1509</v>
      </c>
      <c r="BO10" s="12">
        <f t="shared" si="27"/>
        <v>0.29673269174302974</v>
      </c>
      <c r="BP10" s="22">
        <v>271</v>
      </c>
      <c r="BQ10" s="23">
        <f t="shared" si="24"/>
        <v>4.5166666666666666</v>
      </c>
      <c r="BR10" s="12">
        <f t="shared" si="10"/>
        <v>4.1547522388886551E-2</v>
      </c>
      <c r="BS10" s="2">
        <f>0.3777-A13</f>
        <v>0.28520000000000001</v>
      </c>
      <c r="BT10" s="1">
        <v>1573</v>
      </c>
      <c r="BU10" s="2">
        <f t="shared" si="11"/>
        <v>0.32786382787657614</v>
      </c>
      <c r="BV10" s="22">
        <v>271</v>
      </c>
      <c r="BW10" s="23">
        <f t="shared" si="25"/>
        <v>4.5166666666666666</v>
      </c>
      <c r="BX10" s="2">
        <f t="shared" si="12"/>
        <v>4.7387251922427806E-2</v>
      </c>
      <c r="BY10" s="2">
        <f>0.4454-A13</f>
        <v>0.35289999999999999</v>
      </c>
      <c r="BZ10" s="1">
        <v>1904</v>
      </c>
      <c r="CA10" s="1">
        <f t="shared" si="13"/>
        <v>0.3207226187172792</v>
      </c>
      <c r="CB10" s="22">
        <v>271</v>
      </c>
      <c r="CC10" s="23">
        <f t="shared" si="26"/>
        <v>4.5166666666666666</v>
      </c>
      <c r="CD10" s="1">
        <f t="shared" si="14"/>
        <v>5.2149497803429597E-2</v>
      </c>
    </row>
    <row r="11" spans="1:82" x14ac:dyDescent="0.25">
      <c r="A11" t="s">
        <v>37</v>
      </c>
      <c r="G11" s="6">
        <v>8</v>
      </c>
      <c r="H11" s="6">
        <v>10</v>
      </c>
      <c r="I11" s="6">
        <v>150</v>
      </c>
      <c r="J11" s="2" t="s">
        <v>18</v>
      </c>
      <c r="K11" s="2">
        <f>0.2872-A12</f>
        <v>0.19620000000000001</v>
      </c>
      <c r="L11" s="2">
        <v>8179</v>
      </c>
      <c r="M11" s="2">
        <f>(L11/K11)/(I11/H11*B9)*100</f>
        <v>0.26293600417046081</v>
      </c>
      <c r="N11" s="22">
        <v>278</v>
      </c>
      <c r="O11" s="23">
        <f t="shared" si="15"/>
        <v>4.6333333333333337</v>
      </c>
      <c r="P11" s="23">
        <f t="shared" si="0"/>
        <v>4.6294265800945811E-2</v>
      </c>
      <c r="Q11" s="2">
        <f>0.2489-A12</f>
        <v>0.15790000000000001</v>
      </c>
      <c r="R11" s="2">
        <v>5704</v>
      </c>
      <c r="S11" s="2">
        <f t="shared" si="1"/>
        <v>0.22784853491480411</v>
      </c>
      <c r="T11" s="22">
        <v>278</v>
      </c>
      <c r="U11" s="23">
        <f t="shared" si="16"/>
        <v>4.6333333333333337</v>
      </c>
      <c r="V11" s="23">
        <f t="shared" si="2"/>
        <v>3.8005135623789328E-2</v>
      </c>
      <c r="W11" s="2">
        <f>0.2447-A12</f>
        <v>0.1537</v>
      </c>
      <c r="X11" s="2">
        <v>9326</v>
      </c>
      <c r="Y11" s="2">
        <f>(X11/W11)/(I11/H11*B9)*100</f>
        <v>0.38271051720212051</v>
      </c>
      <c r="Z11" s="22">
        <v>278</v>
      </c>
      <c r="AA11" s="23">
        <f t="shared" si="17"/>
        <v>4.6333333333333337</v>
      </c>
      <c r="AB11" s="23">
        <f t="shared" si="3"/>
        <v>6.0289663476574058E-2</v>
      </c>
      <c r="AC11" s="2">
        <f>0.2142-A12</f>
        <v>0.1232</v>
      </c>
      <c r="AD11" s="2">
        <v>5487</v>
      </c>
      <c r="AE11" s="8">
        <f>(AD11/AC11)/(I11/H11*C9)*100</f>
        <v>0.56319424660711181</v>
      </c>
      <c r="AF11" s="22">
        <v>278</v>
      </c>
      <c r="AG11" s="23">
        <f t="shared" si="18"/>
        <v>4.6333333333333337</v>
      </c>
      <c r="AH11" s="2">
        <f t="shared" si="4"/>
        <v>8.350293363028112E-2</v>
      </c>
      <c r="AI11" s="2">
        <f>0.2308-A12</f>
        <v>0.13980000000000001</v>
      </c>
      <c r="AJ11" s="2">
        <v>6209</v>
      </c>
      <c r="AK11" s="8">
        <f>(AJ11/AI11)/(I11/H11*C9)*100</f>
        <v>0.56162760452266058</v>
      </c>
      <c r="AL11" s="22">
        <v>278</v>
      </c>
      <c r="AM11" s="23">
        <f t="shared" si="19"/>
        <v>4.6333333333333337</v>
      </c>
      <c r="AN11" s="2">
        <f t="shared" si="5"/>
        <v>8.5872860731514802E-2</v>
      </c>
      <c r="AO11" s="2">
        <f>0.2066-A12</f>
        <v>0.11560000000000001</v>
      </c>
      <c r="AP11" s="2">
        <v>5416</v>
      </c>
      <c r="AQ11" s="2">
        <f>(AP11/AO11)/(I11/H11*C9)*100</f>
        <v>0.59245419478706718</v>
      </c>
      <c r="AR11" s="22">
        <v>278</v>
      </c>
      <c r="AS11" s="23">
        <f t="shared" si="20"/>
        <v>4.6333333333333337</v>
      </c>
      <c r="AT11" s="2">
        <f t="shared" si="6"/>
        <v>9.8821359690482821E-2</v>
      </c>
      <c r="AU11" s="7">
        <f>0.2735-A12</f>
        <v>0.18250000000000002</v>
      </c>
      <c r="AV11" s="2">
        <v>2010</v>
      </c>
      <c r="AW11" s="8">
        <f>(AV11/AU11)/(I11/H11*D9)*100</f>
        <v>0.14142625462188946</v>
      </c>
      <c r="AX11" s="22">
        <v>278</v>
      </c>
      <c r="AY11" s="23">
        <f t="shared" si="21"/>
        <v>4.6333333333333337</v>
      </c>
      <c r="AZ11" s="8">
        <f t="shared" si="7"/>
        <v>2.5555724210175428E-2</v>
      </c>
      <c r="BA11" s="7">
        <f>0.2566-A12</f>
        <v>0.1656</v>
      </c>
      <c r="BB11" s="2">
        <v>4213</v>
      </c>
      <c r="BC11" s="8">
        <f>(BB11/BA11)/(I11/H11*D9)*100</f>
        <v>0.32668408548071459</v>
      </c>
      <c r="BD11" s="22">
        <v>278</v>
      </c>
      <c r="BE11" s="23">
        <f t="shared" si="22"/>
        <v>4.6333333333333337</v>
      </c>
      <c r="BF11" s="8">
        <f t="shared" si="8"/>
        <v>5.4490905458183192E-2</v>
      </c>
      <c r="BG11" s="7">
        <f>0.2363-A12</f>
        <v>0.14530000000000001</v>
      </c>
      <c r="BH11" s="2">
        <v>3633</v>
      </c>
      <c r="BI11" s="8">
        <f>(BH11/BG11)/(I11/H11*D9)*100</f>
        <v>0.32106771341174967</v>
      </c>
      <c r="BJ11" s="22">
        <v>278</v>
      </c>
      <c r="BK11" s="23">
        <f t="shared" si="23"/>
        <v>4.6333333333333337</v>
      </c>
      <c r="BL11" s="34">
        <f t="shared" si="9"/>
        <v>4.7603639641848751E-2</v>
      </c>
      <c r="BM11" s="11">
        <f>0.2376-A13</f>
        <v>0.14510000000000001</v>
      </c>
      <c r="BN11" s="1">
        <v>363</v>
      </c>
      <c r="BO11" s="12">
        <f t="shared" si="27"/>
        <v>0.14871456880199255</v>
      </c>
      <c r="BP11" s="22">
        <v>278</v>
      </c>
      <c r="BQ11" s="23">
        <f t="shared" si="24"/>
        <v>4.6333333333333337</v>
      </c>
      <c r="BR11" s="12">
        <f t="shared" si="10"/>
        <v>2.1360369232259532E-2</v>
      </c>
      <c r="BS11" s="2">
        <f>0.2391-A13</f>
        <v>0.14660000000000001</v>
      </c>
      <c r="BT11" s="1">
        <v>389</v>
      </c>
      <c r="BU11" s="2">
        <f t="shared" si="11"/>
        <v>0.1577356771861512</v>
      </c>
      <c r="BV11" s="22">
        <v>278</v>
      </c>
      <c r="BW11" s="23">
        <f t="shared" si="25"/>
        <v>4.6333333333333337</v>
      </c>
      <c r="BX11" s="2">
        <f t="shared" si="12"/>
        <v>2.3386943070800019E-2</v>
      </c>
      <c r="BY11" s="2">
        <f>0.2697-A13</f>
        <v>0.1772</v>
      </c>
      <c r="BZ11" s="1">
        <v>376</v>
      </c>
      <c r="CA11" s="1">
        <f t="shared" si="13"/>
        <v>0.126135818873191</v>
      </c>
      <c r="CB11" s="22">
        <v>278</v>
      </c>
      <c r="CC11" s="23">
        <f t="shared" si="26"/>
        <v>4.6333333333333337</v>
      </c>
      <c r="CD11" s="1">
        <f t="shared" si="14"/>
        <v>2.1039454588048262E-2</v>
      </c>
    </row>
    <row r="12" spans="1:82" x14ac:dyDescent="0.25">
      <c r="A12">
        <v>9.0999999999999998E-2</v>
      </c>
      <c r="G12" s="6">
        <v>9</v>
      </c>
      <c r="H12" s="6">
        <v>10</v>
      </c>
      <c r="I12" s="6">
        <v>150</v>
      </c>
      <c r="J12" s="2" t="s">
        <v>19</v>
      </c>
      <c r="K12" s="2">
        <f>0.2567-A12</f>
        <v>0.16569999999999999</v>
      </c>
      <c r="L12" s="2">
        <v>18340</v>
      </c>
      <c r="M12" s="2">
        <f>(L12/K12)/(I12/H12*B9)*100</f>
        <v>0.69811292140307102</v>
      </c>
      <c r="N12" s="22">
        <v>758</v>
      </c>
      <c r="O12" s="23">
        <f t="shared" si="15"/>
        <v>12.633333333333333</v>
      </c>
      <c r="P12" s="23">
        <f t="shared" si="0"/>
        <v>0.33514074313490094</v>
      </c>
      <c r="Q12" s="2">
        <f>0.3436-A12</f>
        <v>0.25260000000000005</v>
      </c>
      <c r="R12" s="2">
        <v>17090</v>
      </c>
      <c r="S12" s="2">
        <f t="shared" si="1"/>
        <v>0.42673431779443499</v>
      </c>
      <c r="T12" s="22">
        <v>758</v>
      </c>
      <c r="U12" s="23">
        <f t="shared" si="16"/>
        <v>12.633333333333333</v>
      </c>
      <c r="V12" s="23">
        <f t="shared" si="2"/>
        <v>0.19407876773290902</v>
      </c>
      <c r="W12" s="2">
        <f>0.1924-A12</f>
        <v>0.10139999999999999</v>
      </c>
      <c r="X12" s="2">
        <v>13145</v>
      </c>
      <c r="Y12" s="8">
        <f>(X12/W12)/(I12/H12*B9)*100</f>
        <v>0.817657621058962</v>
      </c>
      <c r="Z12" s="22">
        <v>758</v>
      </c>
      <c r="AA12" s="23">
        <f t="shared" si="17"/>
        <v>12.633333333333333</v>
      </c>
      <c r="AB12" s="23">
        <f t="shared" si="3"/>
        <v>0.35121120349885948</v>
      </c>
      <c r="AC12" s="2">
        <f>0.3458-A12</f>
        <v>0.25480000000000003</v>
      </c>
      <c r="AD12" s="2">
        <v>21759</v>
      </c>
      <c r="AE12" s="2">
        <f>(AD12/AC12)/(I12/H12*C9)*100</f>
        <v>1.0798749470269637</v>
      </c>
      <c r="AF12" s="22">
        <v>758</v>
      </c>
      <c r="AG12" s="23">
        <f t="shared" si="18"/>
        <v>12.633333333333333</v>
      </c>
      <c r="AH12" s="2">
        <f t="shared" si="4"/>
        <v>0.43655744525143386</v>
      </c>
      <c r="AI12" s="2">
        <f>0.2182-A12</f>
        <v>0.12720000000000001</v>
      </c>
      <c r="AJ12" s="2">
        <v>8437</v>
      </c>
      <c r="AK12" s="2">
        <f>(AJ12/AI12)/(I12/H12*C9)*100</f>
        <v>0.83875456135671989</v>
      </c>
      <c r="AL12" s="22">
        <v>758</v>
      </c>
      <c r="AM12" s="23">
        <f t="shared" si="19"/>
        <v>12.633333333333333</v>
      </c>
      <c r="AN12" s="2">
        <f t="shared" si="5"/>
        <v>0.34967677662961649</v>
      </c>
      <c r="AO12" s="2">
        <f>0.3242-A12</f>
        <v>0.23319999999999999</v>
      </c>
      <c r="AP12" s="2">
        <v>24355</v>
      </c>
      <c r="AQ12" s="2">
        <f>(AP12/AO12)/(I12/H12*C9)*100</f>
        <v>1.3206676657047149</v>
      </c>
      <c r="AR12" s="22">
        <v>758</v>
      </c>
      <c r="AS12" s="23">
        <f t="shared" si="20"/>
        <v>12.633333333333333</v>
      </c>
      <c r="AT12" s="2">
        <f t="shared" si="6"/>
        <v>0.60063965436250433</v>
      </c>
      <c r="AU12" s="7">
        <f>0.357-A12</f>
        <v>0.26600000000000001</v>
      </c>
      <c r="AV12" s="2">
        <v>3666</v>
      </c>
      <c r="AW12" s="8">
        <f>(AV12/AU12)/(I12/H12*D9)*100</f>
        <v>0.1769732699725097</v>
      </c>
      <c r="AX12" s="22">
        <v>758</v>
      </c>
      <c r="AY12" s="23">
        <f t="shared" si="21"/>
        <v>12.633333333333333</v>
      </c>
      <c r="AZ12" s="8">
        <f t="shared" si="7"/>
        <v>8.7194730115455518E-2</v>
      </c>
      <c r="BA12" s="7">
        <f>0.2309-A12</f>
        <v>0.1399</v>
      </c>
      <c r="BB12" s="2">
        <v>7743</v>
      </c>
      <c r="BC12" s="8">
        <f>(BB12/BA12)/(I12/H12*D9)*100</f>
        <v>0.71070340520611908</v>
      </c>
      <c r="BD12" s="22">
        <v>758</v>
      </c>
      <c r="BE12" s="23">
        <f t="shared" si="22"/>
        <v>12.633333333333333</v>
      </c>
      <c r="BF12" s="8">
        <f t="shared" si="8"/>
        <v>0.32322790868774298</v>
      </c>
      <c r="BG12" s="7">
        <f>0.2161-A12</f>
        <v>0.12509999999999999</v>
      </c>
      <c r="BH12" s="2">
        <v>6626</v>
      </c>
      <c r="BI12" s="8">
        <f>(BH12/BG12)/(I12/H12*D9)*100</f>
        <v>0.68012849927121688</v>
      </c>
      <c r="BJ12" s="22">
        <v>758</v>
      </c>
      <c r="BK12" s="23">
        <f t="shared" si="23"/>
        <v>12.633333333333333</v>
      </c>
      <c r="BL12" s="34">
        <f t="shared" si="9"/>
        <v>0.27495328130537727</v>
      </c>
      <c r="BM12" s="11">
        <f>0.2001-A13</f>
        <v>0.1076</v>
      </c>
      <c r="BN12" s="1">
        <v>522</v>
      </c>
      <c r="BO12" s="12">
        <f t="shared" si="27"/>
        <v>0.28838491231461999</v>
      </c>
      <c r="BP12" s="22">
        <v>758</v>
      </c>
      <c r="BQ12" s="23">
        <f t="shared" si="24"/>
        <v>12.633333333333333</v>
      </c>
      <c r="BR12" s="12">
        <f t="shared" si="10"/>
        <v>0.11294114449281567</v>
      </c>
      <c r="BS12" s="2">
        <f>0.1958-A13</f>
        <v>0.1033</v>
      </c>
      <c r="BT12" s="1">
        <v>695</v>
      </c>
      <c r="BU12" s="2">
        <f t="shared" si="11"/>
        <v>0.39994363240481556</v>
      </c>
      <c r="BV12" s="22">
        <v>758</v>
      </c>
      <c r="BW12" s="23">
        <f t="shared" si="25"/>
        <v>12.633333333333333</v>
      </c>
      <c r="BX12" s="2">
        <f t="shared" si="12"/>
        <v>0.16168387912685345</v>
      </c>
      <c r="BY12" s="2">
        <f>0.2116-A13</f>
        <v>0.11910000000000001</v>
      </c>
      <c r="BZ12" s="1">
        <v>585</v>
      </c>
      <c r="CA12" s="1">
        <f t="shared" si="13"/>
        <v>0.29198356592959435</v>
      </c>
      <c r="CB12" s="22">
        <v>758</v>
      </c>
      <c r="CC12" s="23">
        <f t="shared" si="26"/>
        <v>12.633333333333333</v>
      </c>
      <c r="CD12" s="1">
        <f t="shared" si="14"/>
        <v>0.1327941257847795</v>
      </c>
    </row>
    <row r="13" spans="1:82" x14ac:dyDescent="0.25">
      <c r="A13">
        <v>9.2499999999999999E-2</v>
      </c>
      <c r="G13" s="6">
        <v>10</v>
      </c>
      <c r="H13" s="6">
        <v>10</v>
      </c>
      <c r="I13" s="6">
        <v>150</v>
      </c>
      <c r="J13" s="2" t="s">
        <v>20</v>
      </c>
      <c r="K13" s="2">
        <f>0.3017-A12</f>
        <v>0.21070000000000003</v>
      </c>
      <c r="L13" s="2">
        <v>976</v>
      </c>
      <c r="M13" s="2">
        <f>(L13/K13)/(I13/H13*B9)*100</f>
        <v>2.9216900100525148E-2</v>
      </c>
      <c r="N13" s="22">
        <v>1257</v>
      </c>
      <c r="O13" s="23">
        <f t="shared" si="15"/>
        <v>20.95</v>
      </c>
      <c r="P13" s="23">
        <f t="shared" si="0"/>
        <v>2.3259574170028066E-2</v>
      </c>
      <c r="Q13" s="2">
        <f>0.4517-A12</f>
        <v>0.36070000000000002</v>
      </c>
      <c r="R13" s="2">
        <v>1720</v>
      </c>
      <c r="S13" s="2">
        <f t="shared" si="1"/>
        <v>3.0076767464989294E-2</v>
      </c>
      <c r="T13" s="22">
        <v>1257</v>
      </c>
      <c r="U13" s="23">
        <f t="shared" si="16"/>
        <v>20.95</v>
      </c>
      <c r="V13" s="23">
        <f t="shared" si="2"/>
        <v>2.2683898022094928E-2</v>
      </c>
      <c r="W13" s="2">
        <f>0.3613-A12</f>
        <v>0.27029999999999998</v>
      </c>
      <c r="X13" s="2">
        <v>1335</v>
      </c>
      <c r="Y13" s="2">
        <f>(X13/W13)/(I13/H13*B9)*100</f>
        <v>3.1151866536901048E-2</v>
      </c>
      <c r="Z13" s="22">
        <v>1257</v>
      </c>
      <c r="AA13" s="23">
        <f>Z13/$B$14</f>
        <v>20.95</v>
      </c>
      <c r="AB13" s="23">
        <f t="shared" si="3"/>
        <v>2.2189474534234616E-2</v>
      </c>
      <c r="AC13" s="2">
        <f>0.4392-A12</f>
        <v>0.34819999999999995</v>
      </c>
      <c r="AD13" s="2">
        <v>2132</v>
      </c>
      <c r="AE13" s="8">
        <f>(AD13/AC13)/(I13/H13*C9)*100</f>
        <v>7.7426992587678586E-2</v>
      </c>
      <c r="AF13" s="22">
        <v>1257</v>
      </c>
      <c r="AG13" s="23">
        <f>AF13/$B$14</f>
        <v>20.95</v>
      </c>
      <c r="AH13" s="2">
        <f t="shared" si="4"/>
        <v>5.1907055830779723E-2</v>
      </c>
      <c r="AI13" s="2">
        <f>0.3174-A12</f>
        <v>0.22640000000000002</v>
      </c>
      <c r="AJ13" s="2">
        <v>569</v>
      </c>
      <c r="AK13" s="8">
        <f>(AJ13/AI13)/(I13/H13*C9)*100</f>
        <v>3.1781164122068661E-2</v>
      </c>
      <c r="AL13" s="22">
        <v>1257</v>
      </c>
      <c r="AM13" s="23">
        <f>AL13/$B$14</f>
        <v>20.95</v>
      </c>
      <c r="AN13" s="2">
        <f t="shared" si="5"/>
        <v>2.1971907815792169E-2</v>
      </c>
      <c r="AO13" s="2">
        <f>0.3158-A12</f>
        <v>0.22480000000000003</v>
      </c>
      <c r="AP13" s="2">
        <v>984</v>
      </c>
      <c r="AQ13" s="2">
        <f>(AP13/AO13)/(I13/H13*C9)*100</f>
        <v>5.5351927495954717E-2</v>
      </c>
      <c r="AR13" s="22">
        <v>1257</v>
      </c>
      <c r="AS13" s="23">
        <f>AR13/$B$14</f>
        <v>20.95</v>
      </c>
      <c r="AT13" s="2">
        <f t="shared" si="6"/>
        <v>4.1746423717449049E-2</v>
      </c>
      <c r="AU13" s="7">
        <f>0.4765-A12</f>
        <v>0.38549999999999995</v>
      </c>
      <c r="AV13" s="2">
        <v>421</v>
      </c>
      <c r="AW13" s="8">
        <f>(AV13/AU13)/(I13/H13*D9)*100</f>
        <v>1.4023440138137232E-2</v>
      </c>
      <c r="AX13" s="22">
        <v>1257</v>
      </c>
      <c r="AY13" s="23">
        <f>AX13/$B$14</f>
        <v>20.95</v>
      </c>
      <c r="AZ13" s="8">
        <f t="shared" si="7"/>
        <v>1.1457851764865025E-2</v>
      </c>
      <c r="BA13" s="7">
        <f>0.4162-A12</f>
        <v>0.32520000000000004</v>
      </c>
      <c r="BB13" s="2">
        <v>432</v>
      </c>
      <c r="BC13" s="8">
        <f>(BB13/BA13)/(I13/H13*D9)*100</f>
        <v>1.7058076643825412E-2</v>
      </c>
      <c r="BD13" s="22">
        <v>1257</v>
      </c>
      <c r="BE13" s="23">
        <f>BD13/$B$14</f>
        <v>20.95</v>
      </c>
      <c r="BF13" s="8">
        <f t="shared" si="8"/>
        <v>1.2865201404773126E-2</v>
      </c>
      <c r="BG13" s="7">
        <f>0.2969-A12</f>
        <v>0.2059</v>
      </c>
      <c r="BH13" s="2">
        <v>482</v>
      </c>
      <c r="BI13" s="8">
        <f>(BH13/BG13)/(I13/H13*D9)*100</f>
        <v>3.0059900806348318E-2</v>
      </c>
      <c r="BJ13" s="22">
        <v>1257</v>
      </c>
      <c r="BK13" s="23">
        <f>BJ13/$B$14</f>
        <v>20.95</v>
      </c>
      <c r="BL13" s="34">
        <f t="shared" si="9"/>
        <v>2.0152157500575911E-2</v>
      </c>
      <c r="BM13" s="11">
        <f>0.5038-A13</f>
        <v>0.4113</v>
      </c>
      <c r="BN13" s="1">
        <v>30</v>
      </c>
      <c r="BO13" s="12">
        <f t="shared" si="27"/>
        <v>4.3358759533205773E-3</v>
      </c>
      <c r="BP13" s="22">
        <v>1257</v>
      </c>
      <c r="BQ13" s="23">
        <f>BP13/$B$14</f>
        <v>20.95</v>
      </c>
      <c r="BR13" s="12">
        <f t="shared" si="10"/>
        <v>2.8159346378840485E-3</v>
      </c>
      <c r="BS13" s="2">
        <f>0.2961-A13</f>
        <v>0.20359999999999998</v>
      </c>
      <c r="BT13" s="1">
        <v>41</v>
      </c>
      <c r="BU13" s="2">
        <f t="shared" si="11"/>
        <v>1.1970723144012917E-2</v>
      </c>
      <c r="BV13" s="22">
        <v>1257</v>
      </c>
      <c r="BW13" s="23">
        <f>BV13/$B$14</f>
        <v>20.95</v>
      </c>
      <c r="BX13" s="2">
        <f t="shared" si="12"/>
        <v>8.0251727957462594E-3</v>
      </c>
      <c r="BY13" s="2">
        <f>0.3445-A13</f>
        <v>0.252</v>
      </c>
      <c r="BZ13" s="1">
        <v>24</v>
      </c>
      <c r="CA13" s="1">
        <f t="shared" si="13"/>
        <v>5.6614151733357255E-3</v>
      </c>
      <c r="CB13" s="22">
        <v>1257</v>
      </c>
      <c r="CC13" s="23">
        <f>CB13/$B$14</f>
        <v>20.95</v>
      </c>
      <c r="CD13" s="1">
        <f t="shared" si="14"/>
        <v>4.2698393237298043E-3</v>
      </c>
    </row>
    <row r="14" spans="1:82" x14ac:dyDescent="0.25">
      <c r="A14" t="s">
        <v>54</v>
      </c>
      <c r="B14">
        <v>60</v>
      </c>
      <c r="G14" s="6">
        <v>11</v>
      </c>
      <c r="H14" s="6">
        <v>10</v>
      </c>
      <c r="I14" s="6">
        <v>150</v>
      </c>
      <c r="J14" s="2" t="s">
        <v>21</v>
      </c>
      <c r="K14" s="3">
        <f>0.3233-A12</f>
        <v>0.23229999999999998</v>
      </c>
      <c r="L14" s="2">
        <v>11959</v>
      </c>
      <c r="M14" s="2">
        <f>(L14/K14)/(I14/H14*B9)*100</f>
        <v>0.32470913715336569</v>
      </c>
      <c r="N14" s="22">
        <v>118</v>
      </c>
      <c r="O14" s="23">
        <f t="shared" si="15"/>
        <v>1.9666666666666666</v>
      </c>
      <c r="P14" s="23">
        <f t="shared" si="0"/>
        <v>2.4266596183261529E-2</v>
      </c>
      <c r="Q14" s="2">
        <f>0.2863-A12</f>
        <v>0.1953</v>
      </c>
      <c r="R14" s="2">
        <v>9232</v>
      </c>
      <c r="S14" s="2">
        <f t="shared" si="1"/>
        <v>0.29815521233673586</v>
      </c>
      <c r="T14" s="22">
        <v>118</v>
      </c>
      <c r="U14" s="23">
        <f t="shared" si="16"/>
        <v>1.9666666666666666</v>
      </c>
      <c r="V14" s="23">
        <f t="shared" si="2"/>
        <v>2.1109389033440899E-2</v>
      </c>
      <c r="W14" s="2">
        <f>0.2676-A12</f>
        <v>0.17660000000000001</v>
      </c>
      <c r="X14" s="2">
        <v>9233</v>
      </c>
      <c r="Y14" s="2">
        <f>(X14/W14)/(I14/H14*B9)*100</f>
        <v>0.32976228962222992</v>
      </c>
      <c r="Z14" s="22">
        <v>118</v>
      </c>
      <c r="AA14" s="23">
        <f t="shared" si="17"/>
        <v>1.9666666666666666</v>
      </c>
      <c r="AB14" s="23">
        <f t="shared" si="3"/>
        <v>2.2050105099406438E-2</v>
      </c>
      <c r="AC14" s="2">
        <f>0.347-A12</f>
        <v>0.25600000000000001</v>
      </c>
      <c r="AD14" s="2">
        <v>14859</v>
      </c>
      <c r="AE14" s="2">
        <f>(AD14/AC14)/(I14/H14*C9)*100</f>
        <v>0.73397889886982959</v>
      </c>
      <c r="AF14" s="22">
        <v>118</v>
      </c>
      <c r="AG14" s="23">
        <f t="shared" si="18"/>
        <v>1.9666666666666666</v>
      </c>
      <c r="AH14" s="2">
        <f t="shared" si="4"/>
        <v>4.6191738702207941E-2</v>
      </c>
      <c r="AI14" s="2">
        <f>0.3267-A12</f>
        <v>0.23569999999999999</v>
      </c>
      <c r="AJ14" s="2">
        <v>11111</v>
      </c>
      <c r="AK14" s="2">
        <f>(AJ14/AI14)/(I14/H14*C9)*100</f>
        <v>0.59611153029903108</v>
      </c>
      <c r="AL14" s="22">
        <v>118</v>
      </c>
      <c r="AM14" s="23">
        <f t="shared" si="19"/>
        <v>1.9666666666666666</v>
      </c>
      <c r="AN14" s="2">
        <f t="shared" si="5"/>
        <v>3.8687638316407119E-2</v>
      </c>
      <c r="AO14" s="2">
        <f>0.3098-A12</f>
        <v>0.21880000000000002</v>
      </c>
      <c r="AP14" s="2">
        <v>8588</v>
      </c>
      <c r="AQ14" s="2">
        <f>(AP14/AO14)/(I14/H14*C9)*100</f>
        <v>0.49633931305720713</v>
      </c>
      <c r="AR14" s="22">
        <v>118</v>
      </c>
      <c r="AS14" s="23">
        <f t="shared" si="20"/>
        <v>1.9666666666666666</v>
      </c>
      <c r="AT14" s="2">
        <f t="shared" si="6"/>
        <v>3.5140823364450263E-2</v>
      </c>
      <c r="AU14" s="7">
        <f>0.2922-A12</f>
        <v>0.20120000000000002</v>
      </c>
      <c r="AV14" s="2">
        <v>7841</v>
      </c>
      <c r="AW14" s="8">
        <f>(AV14/AU14)/(I14/H14*D9)*100</f>
        <v>0.50042653384288294</v>
      </c>
      <c r="AX14" s="22">
        <v>118</v>
      </c>
      <c r="AY14" s="23">
        <f t="shared" si="21"/>
        <v>1.9666666666666666</v>
      </c>
      <c r="AZ14" s="8">
        <f t="shared" si="7"/>
        <v>3.8382715145749119E-2</v>
      </c>
      <c r="BA14" s="7">
        <f>0.1726-A12</f>
        <v>8.1600000000000006E-2</v>
      </c>
      <c r="BB14" s="2">
        <v>3198</v>
      </c>
      <c r="BC14" s="8">
        <f>(BB14/BA14)/(I14/H14*D9)*100</f>
        <v>0.50325158591994967</v>
      </c>
      <c r="BD14" s="22">
        <v>118</v>
      </c>
      <c r="BE14" s="23">
        <f t="shared" si="22"/>
        <v>1.9666666666666666</v>
      </c>
      <c r="BF14" s="8">
        <f t="shared" si="8"/>
        <v>3.5630212283132436E-2</v>
      </c>
      <c r="BG14" s="7">
        <f>0.2826-A12</f>
        <v>0.19160000000000002</v>
      </c>
      <c r="BH14" s="2">
        <v>5204</v>
      </c>
      <c r="BI14" s="8">
        <f>(BH14/BG14)/(I14/H14*D9)*100</f>
        <v>0.34876960916203714</v>
      </c>
      <c r="BJ14" s="22">
        <v>118</v>
      </c>
      <c r="BK14" s="23">
        <f t="shared" si="23"/>
        <v>1.9666666666666666</v>
      </c>
      <c r="BL14" s="34">
        <f t="shared" si="9"/>
        <v>2.1949234069930872E-2</v>
      </c>
      <c r="BM14" s="11">
        <f>0.291-A13</f>
        <v>0.19849999999999998</v>
      </c>
      <c r="BN14" s="1">
        <v>734</v>
      </c>
      <c r="BO14" s="12">
        <f t="shared" si="27"/>
        <v>0.21981121783827928</v>
      </c>
      <c r="BP14" s="22">
        <v>118</v>
      </c>
      <c r="BQ14" s="23">
        <f t="shared" si="24"/>
        <v>1.9666666666666666</v>
      </c>
      <c r="BR14" s="12">
        <f t="shared" si="10"/>
        <v>1.3401157247540426E-2</v>
      </c>
      <c r="BS14" s="2">
        <f>0.29-A13</f>
        <v>0.19749999999999998</v>
      </c>
      <c r="BT14" s="1">
        <v>1410</v>
      </c>
      <c r="BU14" s="2">
        <f t="shared" si="11"/>
        <v>0.42439114755055912</v>
      </c>
      <c r="BV14" s="22">
        <v>118</v>
      </c>
      <c r="BW14" s="23">
        <f t="shared" si="25"/>
        <v>1.9666666666666666</v>
      </c>
      <c r="BX14" s="2">
        <f t="shared" si="12"/>
        <v>2.6708349552515189E-2</v>
      </c>
      <c r="BY14" s="2">
        <f>0.2928-A13</f>
        <v>0.20030000000000001</v>
      </c>
      <c r="BZ14" s="1">
        <v>1298</v>
      </c>
      <c r="CA14" s="1">
        <f t="shared" si="13"/>
        <v>0.3852193080249256</v>
      </c>
      <c r="CB14" s="22">
        <v>118</v>
      </c>
      <c r="CC14" s="23">
        <f t="shared" si="26"/>
        <v>1.9666666666666666</v>
      </c>
      <c r="CD14" s="1">
        <f t="shared" si="14"/>
        <v>2.7273527008164732E-2</v>
      </c>
    </row>
    <row r="15" spans="1:82" x14ac:dyDescent="0.25">
      <c r="G15" s="6">
        <v>12</v>
      </c>
      <c r="H15" s="30">
        <v>10</v>
      </c>
      <c r="I15" s="6">
        <v>150</v>
      </c>
      <c r="J15" s="2" t="s">
        <v>45</v>
      </c>
      <c r="K15" s="2">
        <f>0.2336-A12</f>
        <v>0.1426</v>
      </c>
      <c r="L15" s="2">
        <v>9968</v>
      </c>
      <c r="M15" s="2">
        <f>(L15/K15)/(I15/H15*B9)*100</f>
        <v>0.44089721682633359</v>
      </c>
      <c r="N15" s="29">
        <v>35.9</v>
      </c>
      <c r="O15" s="23">
        <f>N15/$B$14</f>
        <v>0.59833333333333327</v>
      </c>
      <c r="P15" s="23">
        <f t="shared" si="0"/>
        <v>1.0024533053241403E-2</v>
      </c>
      <c r="Q15" s="2">
        <f>0.6974-A12</f>
        <v>0.60640000000000005</v>
      </c>
      <c r="R15" s="2">
        <v>651816</v>
      </c>
      <c r="S15" s="2">
        <f t="shared" si="1"/>
        <v>6.7797655790643772</v>
      </c>
      <c r="T15" s="29">
        <v>35.9</v>
      </c>
      <c r="U15" s="23">
        <f t="shared" si="16"/>
        <v>0.59833333333333327</v>
      </c>
      <c r="V15" s="23">
        <f t="shared" si="2"/>
        <v>0.1460361505730467</v>
      </c>
      <c r="W15" s="2">
        <f>0.1542-A12</f>
        <v>6.3200000000000006E-2</v>
      </c>
      <c r="X15" s="2">
        <v>51465</v>
      </c>
      <c r="Y15" s="8">
        <f>(X15/W15)/(I15/H15*B9)*100</f>
        <v>5.1362215936594104</v>
      </c>
      <c r="Z15" s="29">
        <v>35.9</v>
      </c>
      <c r="AA15" s="23">
        <f t="shared" si="17"/>
        <v>0.59833333333333327</v>
      </c>
      <c r="AB15" s="23">
        <f t="shared" si="3"/>
        <v>0.10448786795367793</v>
      </c>
      <c r="AC15" s="2">
        <f>0.1797-A12</f>
        <v>8.8700000000000001E-2</v>
      </c>
      <c r="AD15" s="2">
        <v>52723</v>
      </c>
      <c r="AE15" s="8">
        <f>(AD15/AC15)/(I15/H15*C9)*100</f>
        <v>7.5164098240781572</v>
      </c>
      <c r="AF15" s="29">
        <v>35.9</v>
      </c>
      <c r="AG15" s="23">
        <f t="shared" si="18"/>
        <v>0.59833333333333327</v>
      </c>
      <c r="AH15" s="2">
        <f t="shared" si="4"/>
        <v>0.1439141934316831</v>
      </c>
      <c r="AI15" s="2">
        <f>0.3539-A12</f>
        <v>0.26290000000000002</v>
      </c>
      <c r="AJ15" s="2">
        <v>423457</v>
      </c>
      <c r="AK15" s="8">
        <f>(AJ15/AI15)/(I15/H15*C9)*100</f>
        <v>20.368201722578103</v>
      </c>
      <c r="AL15" s="29">
        <v>35.9</v>
      </c>
      <c r="AM15" s="23">
        <f t="shared" si="19"/>
        <v>0.59833333333333327</v>
      </c>
      <c r="AN15" s="2">
        <f t="shared" si="5"/>
        <v>0.40217014301230458</v>
      </c>
      <c r="AO15" s="2">
        <f>0.1651-A12</f>
        <v>7.4099999999999999E-2</v>
      </c>
      <c r="AP15" s="2">
        <v>19677</v>
      </c>
      <c r="AQ15" s="2">
        <f>(AP15/AO15)/(I15/H15*C9)*100</f>
        <v>3.3579531673518561</v>
      </c>
      <c r="AR15" s="29">
        <v>35.9</v>
      </c>
      <c r="AS15" s="23">
        <f t="shared" si="20"/>
        <v>0.59833333333333327</v>
      </c>
      <c r="AT15" s="2">
        <f t="shared" si="6"/>
        <v>7.233031122475897E-2</v>
      </c>
      <c r="AU15" s="7">
        <f>0.1295-A12</f>
        <v>3.8500000000000006E-2</v>
      </c>
      <c r="AV15" s="2">
        <v>1656</v>
      </c>
      <c r="AW15" s="8">
        <f>(AV15/AU15)/(I15/H15*D9)*100</f>
        <v>0.55232722971929227</v>
      </c>
      <c r="AX15" s="29">
        <v>35.9</v>
      </c>
      <c r="AY15" s="23">
        <f t="shared" si="21"/>
        <v>0.59833333333333327</v>
      </c>
      <c r="AZ15" s="8">
        <f t="shared" si="7"/>
        <v>1.2888555905499685E-2</v>
      </c>
      <c r="BA15" s="7">
        <f>0.1946-A12</f>
        <v>0.1036</v>
      </c>
      <c r="BB15" s="2">
        <v>5173</v>
      </c>
      <c r="BC15" s="8">
        <f>(BB15/BA15)/(I15/H15*D9)*100</f>
        <v>0.64117942030448039</v>
      </c>
      <c r="BD15" s="29">
        <v>35.9</v>
      </c>
      <c r="BE15" s="23">
        <f t="shared" si="22"/>
        <v>0.59833333333333327</v>
      </c>
      <c r="BF15" s="8">
        <f t="shared" si="8"/>
        <v>1.3811004713358508E-2</v>
      </c>
      <c r="BG15" s="7">
        <f>0.1982-A12</f>
        <v>0.10719999999999999</v>
      </c>
      <c r="BH15" s="2">
        <v>10296</v>
      </c>
      <c r="BI15" s="8">
        <f>(BH15/BG15)/(I15/H15*D9)*100</f>
        <v>1.2333053063025488</v>
      </c>
      <c r="BJ15" s="29">
        <v>35.9</v>
      </c>
      <c r="BK15" s="23">
        <f t="shared" si="23"/>
        <v>0.59833333333333327</v>
      </c>
      <c r="BL15" s="34">
        <f t="shared" si="9"/>
        <v>2.3613685598006133E-2</v>
      </c>
      <c r="BM15" s="2">
        <f>0.2402-A13</f>
        <v>0.1477</v>
      </c>
      <c r="BN15" s="1">
        <v>288</v>
      </c>
      <c r="BO15" s="12">
        <f t="shared" si="27"/>
        <v>0.11591143861995419</v>
      </c>
      <c r="BP15" s="29">
        <v>35.9</v>
      </c>
      <c r="BQ15" s="23">
        <f t="shared" si="24"/>
        <v>0.59833333333333327</v>
      </c>
      <c r="BR15" s="12">
        <f t="shared" si="10"/>
        <v>2.1499640006691165E-3</v>
      </c>
      <c r="BS15" s="2">
        <f>0.2238-A13</f>
        <v>0.1313</v>
      </c>
      <c r="BT15" s="1">
        <v>18932</v>
      </c>
      <c r="BU15" s="2">
        <f t="shared" si="11"/>
        <v>8.5712877124654643</v>
      </c>
      <c r="BV15" s="29">
        <v>35.9</v>
      </c>
      <c r="BW15" s="23">
        <f t="shared" si="25"/>
        <v>0.59833333333333327</v>
      </c>
      <c r="BX15" s="2">
        <f t="shared" si="12"/>
        <v>0.16411158873467208</v>
      </c>
      <c r="BY15" s="2">
        <f>0.1584-A13</f>
        <v>6.5900000000000014E-2</v>
      </c>
      <c r="BZ15" s="1">
        <v>85</v>
      </c>
      <c r="CA15" s="1">
        <f t="shared" si="13"/>
        <v>7.6673946012171992E-2</v>
      </c>
      <c r="CB15" s="29">
        <v>35.9</v>
      </c>
      <c r="CC15" s="23">
        <f t="shared" si="26"/>
        <v>0.59833333333333327</v>
      </c>
      <c r="CD15" s="1">
        <f t="shared" si="14"/>
        <v>1.6515567971021848E-3</v>
      </c>
    </row>
    <row r="16" spans="1:82" x14ac:dyDescent="0.25">
      <c r="G16" s="6">
        <v>13</v>
      </c>
      <c r="H16" s="6">
        <v>10</v>
      </c>
      <c r="I16" s="6">
        <v>150</v>
      </c>
      <c r="J16" s="2" t="s">
        <v>10</v>
      </c>
      <c r="K16" s="2">
        <f>0.1832-A12</f>
        <v>9.2200000000000004E-2</v>
      </c>
      <c r="L16" s="2">
        <v>5670</v>
      </c>
      <c r="M16" s="2">
        <f>(L16/K16)/(I16/H16*B9)*100</f>
        <v>0.38788321923778363</v>
      </c>
      <c r="N16" s="55"/>
      <c r="O16" s="56"/>
      <c r="P16" s="57"/>
      <c r="Q16" s="2">
        <f>0.1513-A12</f>
        <v>6.0299999999999992E-2</v>
      </c>
      <c r="R16" s="2">
        <v>3205</v>
      </c>
      <c r="S16" s="2">
        <f>(R16/Q16)/(I16/H16*B9)*100</f>
        <v>0.33524288951475523</v>
      </c>
      <c r="T16" s="66"/>
      <c r="U16" s="67"/>
      <c r="V16" s="68"/>
      <c r="W16" s="2">
        <f>0.1752-A12</f>
        <v>8.4199999999999997E-2</v>
      </c>
      <c r="X16" s="2">
        <v>5637</v>
      </c>
      <c r="Y16" s="8">
        <f>(X16/W16)/(I16/H16*B9)*100</f>
        <v>0.422264719029941</v>
      </c>
      <c r="Z16" s="55"/>
      <c r="AA16" s="56"/>
      <c r="AB16" s="57"/>
      <c r="AC16" s="8">
        <f>0.144-A12</f>
        <v>5.2999999999999992E-2</v>
      </c>
      <c r="AD16" s="2">
        <v>3874</v>
      </c>
      <c r="AE16" s="8">
        <f>(AD16/AC16)/(I16/H16*C9)*100</f>
        <v>0.9243101113749248</v>
      </c>
      <c r="AF16" s="58"/>
      <c r="AG16" s="59"/>
      <c r="AH16" s="60"/>
      <c r="AI16" s="8">
        <f>0.1185-A12</f>
        <v>2.7499999999999997E-2</v>
      </c>
      <c r="AJ16" s="2">
        <v>891</v>
      </c>
      <c r="AK16" s="8">
        <f>(AJ16/AI16)/(I16/H16*C9)*100</f>
        <v>0.40971226723103271</v>
      </c>
      <c r="AL16" s="58"/>
      <c r="AM16" s="59"/>
      <c r="AN16" s="60"/>
      <c r="AO16" s="8">
        <f>0.1336-A12</f>
        <v>4.2599999999999999E-2</v>
      </c>
      <c r="AP16" s="2">
        <v>1437</v>
      </c>
      <c r="AQ16" s="2">
        <f>(AP16/AO16)/(I16/H16*C9)*100</f>
        <v>0.42656098070697418</v>
      </c>
      <c r="AR16" s="2"/>
      <c r="AS16" s="2"/>
      <c r="AT16" s="2"/>
      <c r="AU16" s="7">
        <f>0.1711-A12</f>
        <v>8.0100000000000005E-2</v>
      </c>
      <c r="AV16" s="8">
        <v>1542</v>
      </c>
      <c r="AW16" s="8">
        <f>(AV16/AU16)/(I16/H16*D9)*100</f>
        <v>0.24720013816323516</v>
      </c>
      <c r="AX16" s="8"/>
      <c r="AY16" s="8"/>
      <c r="AZ16" s="8"/>
      <c r="BA16" s="7">
        <f>0.133-A12</f>
        <v>4.200000000000001E-2</v>
      </c>
      <c r="BB16" s="8">
        <v>1706</v>
      </c>
      <c r="BC16" s="8">
        <f>(BB16/BA16)/(I16/H16*D9)*100</f>
        <v>0.52158679513447259</v>
      </c>
      <c r="BD16" s="8"/>
      <c r="BE16" s="8"/>
      <c r="BF16" s="8"/>
      <c r="BG16" s="7">
        <f>0.1725-A12</f>
        <v>8.1499999999999989E-2</v>
      </c>
      <c r="BH16" s="8">
        <v>3860</v>
      </c>
      <c r="BI16" s="8">
        <f>(BH16/BG16)/(I16/H16*D9)*100</f>
        <v>0.60817217634764864</v>
      </c>
      <c r="BJ16" s="34"/>
      <c r="BK16" s="34"/>
      <c r="BL16" s="34"/>
      <c r="BM16" s="11">
        <f>0.1647-A13</f>
        <v>7.2200000000000014E-2</v>
      </c>
      <c r="BN16" s="1">
        <v>246</v>
      </c>
      <c r="BO16" s="12">
        <f>(BN16/BM16)/(I16/H16*E9)*100</f>
        <v>0.20254065640894983</v>
      </c>
      <c r="BP16" s="12"/>
      <c r="BQ16" s="12"/>
      <c r="BR16" s="12"/>
      <c r="BS16" s="2">
        <f>0.1453-A13</f>
        <v>5.2800000000000014E-2</v>
      </c>
      <c r="BT16" s="1">
        <v>164</v>
      </c>
      <c r="BU16" s="2">
        <f t="shared" si="11"/>
        <v>0.18463933576674463</v>
      </c>
      <c r="BV16" s="2"/>
      <c r="BW16" s="2"/>
      <c r="BX16" s="2"/>
      <c r="BY16" s="2">
        <f>0.1587-A13</f>
        <v>6.6200000000000009E-2</v>
      </c>
      <c r="BZ16" s="1">
        <v>147</v>
      </c>
      <c r="CA16" s="1">
        <f t="shared" si="13"/>
        <v>0.13199991420005575</v>
      </c>
      <c r="CB16" s="1"/>
      <c r="CC16" s="1"/>
      <c r="CD16" s="1"/>
    </row>
    <row r="18" spans="2:36" x14ac:dyDescent="0.25">
      <c r="G18" s="33"/>
      <c r="H18" s="33"/>
      <c r="N18" s="20" t="s">
        <v>57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6"/>
    </row>
    <row r="19" spans="2:36" x14ac:dyDescent="0.25">
      <c r="B19" s="61" t="s">
        <v>41</v>
      </c>
      <c r="C19" s="51" t="s">
        <v>58</v>
      </c>
      <c r="D19" s="51"/>
      <c r="E19" s="51"/>
      <c r="F19" s="51"/>
      <c r="G19" s="51" t="s">
        <v>59</v>
      </c>
      <c r="H19" s="51"/>
      <c r="I19" s="51"/>
      <c r="J19" s="51"/>
      <c r="N19" s="20" t="s">
        <v>22</v>
      </c>
      <c r="O19" s="21" t="s">
        <v>23</v>
      </c>
      <c r="P19" s="24" t="s">
        <v>24</v>
      </c>
      <c r="Q19" s="24" t="s">
        <v>25</v>
      </c>
      <c r="R19" s="24" t="s">
        <v>26</v>
      </c>
      <c r="S19" s="24" t="s">
        <v>27</v>
      </c>
      <c r="T19" s="24" t="s">
        <v>28</v>
      </c>
      <c r="U19" s="24" t="s">
        <v>29</v>
      </c>
      <c r="V19" s="24" t="s">
        <v>30</v>
      </c>
      <c r="W19" s="24" t="s">
        <v>31</v>
      </c>
      <c r="X19" s="24" t="s">
        <v>32</v>
      </c>
      <c r="Y19" s="24" t="s">
        <v>33</v>
      </c>
    </row>
    <row r="20" spans="2:36" x14ac:dyDescent="0.25">
      <c r="B20" s="62"/>
      <c r="C20" s="45" t="s">
        <v>0</v>
      </c>
      <c r="D20" s="45" t="s">
        <v>1</v>
      </c>
      <c r="E20" s="46" t="s">
        <v>2</v>
      </c>
      <c r="F20" s="45" t="s">
        <v>3</v>
      </c>
      <c r="G20" s="45" t="s">
        <v>0</v>
      </c>
      <c r="H20" s="45" t="s">
        <v>1</v>
      </c>
      <c r="I20" s="46" t="s">
        <v>2</v>
      </c>
      <c r="J20" s="45" t="s">
        <v>3</v>
      </c>
      <c r="N20" s="19">
        <v>38</v>
      </c>
      <c r="O20" s="19">
        <v>36</v>
      </c>
      <c r="P20" s="19">
        <v>34</v>
      </c>
      <c r="Q20" s="19">
        <v>32</v>
      </c>
      <c r="R20" s="19">
        <v>33</v>
      </c>
      <c r="S20" s="19">
        <v>36</v>
      </c>
      <c r="T20" s="19">
        <v>39</v>
      </c>
      <c r="U20" s="19">
        <v>36</v>
      </c>
      <c r="V20" s="19">
        <v>32</v>
      </c>
      <c r="W20" s="19">
        <v>31</v>
      </c>
      <c r="X20" s="19">
        <v>32</v>
      </c>
      <c r="Y20" s="19">
        <v>36</v>
      </c>
    </row>
    <row r="21" spans="2:36" x14ac:dyDescent="0.25">
      <c r="B21" s="47" t="s">
        <v>11</v>
      </c>
      <c r="C21" s="1">
        <f t="shared" ref="C21:C33" si="28">(M4+S4+Y4)/3</f>
        <v>0.10725226830476474</v>
      </c>
      <c r="D21" s="1">
        <f t="shared" ref="D21:D33" si="29">(AE4+AK4+AQ4)/3</f>
        <v>0.14389587847595084</v>
      </c>
      <c r="E21" s="1">
        <f t="shared" ref="E21:E33" si="30">(AW4+BC4+BI4)/3</f>
        <v>8.7636046049167082E-2</v>
      </c>
      <c r="F21" s="1">
        <f t="shared" ref="F21:F33" si="31">(BO4+BU4+CA4)/3</f>
        <v>5.1832149213746272E-2</v>
      </c>
      <c r="G21" s="35">
        <f>(P4+V4+AB4)/3</f>
        <v>1.4001369350868209</v>
      </c>
      <c r="H21" s="1">
        <f>(AH4+AN4+AT4)/3</f>
        <v>1.7383175613193484</v>
      </c>
      <c r="I21" s="1">
        <f>(AZ4+BF4+BL4)/3</f>
        <v>1.1012517141084139</v>
      </c>
      <c r="J21" s="1">
        <f>(BR4+BX4+CD4)/3</f>
        <v>0.61017502728063777</v>
      </c>
    </row>
    <row r="22" spans="2:36" x14ac:dyDescent="0.25">
      <c r="B22" s="47" t="s">
        <v>12</v>
      </c>
      <c r="C22" s="1">
        <f t="shared" si="28"/>
        <v>11.850391809414889</v>
      </c>
      <c r="D22" s="1">
        <f t="shared" si="29"/>
        <v>24.530850074834078</v>
      </c>
      <c r="E22" s="1">
        <f t="shared" si="30"/>
        <v>13.509628623204071</v>
      </c>
      <c r="F22" s="1">
        <f t="shared" si="31"/>
        <v>6.9260957240189827</v>
      </c>
      <c r="G22" s="35">
        <f>(P5+V5+AB5)/3</f>
        <v>26.792089713329378</v>
      </c>
      <c r="H22" s="1">
        <f t="shared" ref="H22:H32" si="32">(AH5+AN5+AT5)/3</f>
        <v>52.828021959961291</v>
      </c>
      <c r="I22" s="1">
        <f t="shared" ref="I22:I32" si="33">(AZ5+BF5+BL5)/3</f>
        <v>30.314042974026517</v>
      </c>
      <c r="J22" s="1">
        <f t="shared" ref="J22:J32" si="34">(BR5+BX5+CD5)/3</f>
        <v>14.46330779290802</v>
      </c>
    </row>
    <row r="23" spans="2:36" x14ac:dyDescent="0.25">
      <c r="B23" s="47" t="s">
        <v>13</v>
      </c>
      <c r="C23" s="1">
        <f t="shared" si="28"/>
        <v>0.27210420148091863</v>
      </c>
      <c r="D23" s="1">
        <f t="shared" si="29"/>
        <v>0.2520340056644515</v>
      </c>
      <c r="E23" s="1">
        <f t="shared" si="30"/>
        <v>0.16632671867216162</v>
      </c>
      <c r="F23" s="1">
        <f t="shared" si="31"/>
        <v>5.5563067447557818E-2</v>
      </c>
      <c r="G23" s="35">
        <f t="shared" ref="G23:G32" si="35">(P6+V6+AB6)/3</f>
        <v>0.70683120815273826</v>
      </c>
      <c r="H23" s="1">
        <f t="shared" si="32"/>
        <v>0.62317489935609016</v>
      </c>
      <c r="I23" s="1">
        <f t="shared" si="33"/>
        <v>0.42400844663089976</v>
      </c>
      <c r="J23" s="1">
        <f t="shared" si="34"/>
        <v>0.13287889201395545</v>
      </c>
    </row>
    <row r="24" spans="2:36" x14ac:dyDescent="0.25">
      <c r="B24" s="47" t="s">
        <v>14</v>
      </c>
      <c r="C24" s="1">
        <f t="shared" si="28"/>
        <v>0.22096738627854848</v>
      </c>
      <c r="D24" s="1">
        <f t="shared" si="29"/>
        <v>0.4676872876960812</v>
      </c>
      <c r="E24" s="1">
        <f t="shared" si="30"/>
        <v>0.14574958248637734</v>
      </c>
      <c r="F24" s="1">
        <f t="shared" si="31"/>
        <v>5.8374368786083118E-2</v>
      </c>
      <c r="G24" s="35">
        <f t="shared" si="35"/>
        <v>0.10085868404323801</v>
      </c>
      <c r="H24" s="1">
        <f t="shared" si="32"/>
        <v>0.19862328468472135</v>
      </c>
      <c r="I24" s="1">
        <f t="shared" si="33"/>
        <v>6.6768306968901625E-2</v>
      </c>
      <c r="J24" s="1">
        <f t="shared" si="34"/>
        <v>2.491597427827873E-2</v>
      </c>
      <c r="Q24" s="14"/>
    </row>
    <row r="25" spans="2:36" x14ac:dyDescent="0.25">
      <c r="B25" s="47" t="s">
        <v>15</v>
      </c>
      <c r="C25" s="1">
        <f t="shared" si="28"/>
        <v>2.9348054059252568</v>
      </c>
      <c r="D25" s="1">
        <f t="shared" si="29"/>
        <v>2.2323025523534592</v>
      </c>
      <c r="E25" s="1">
        <f t="shared" si="30"/>
        <v>1.5792678966225029</v>
      </c>
      <c r="F25" s="1">
        <f t="shared" si="31"/>
        <v>0.68656155375502148</v>
      </c>
      <c r="G25" s="35">
        <f t="shared" si="35"/>
        <v>2.7941578872514774</v>
      </c>
      <c r="H25" s="1">
        <f t="shared" si="32"/>
        <v>2.0027249690940123</v>
      </c>
      <c r="I25" s="1">
        <f t="shared" si="33"/>
        <v>1.4502617575055352</v>
      </c>
      <c r="J25" s="1">
        <f t="shared" si="34"/>
        <v>0.58570087998559728</v>
      </c>
      <c r="L25" s="63"/>
      <c r="M25" s="63"/>
      <c r="N25" s="63"/>
      <c r="O25" s="63"/>
      <c r="P25" s="63"/>
      <c r="Q25" s="63"/>
      <c r="R25" s="63"/>
    </row>
    <row r="26" spans="2:36" x14ac:dyDescent="0.25">
      <c r="B26" s="47" t="s">
        <v>17</v>
      </c>
      <c r="C26" s="1">
        <f t="shared" si="28"/>
        <v>1.1208716080685419</v>
      </c>
      <c r="D26" s="1">
        <f t="shared" si="29"/>
        <v>1.0714599071600801</v>
      </c>
      <c r="E26" s="1">
        <f t="shared" si="30"/>
        <v>0.79199904348514583</v>
      </c>
      <c r="F26" s="1">
        <f t="shared" si="31"/>
        <v>0.73729000087890562</v>
      </c>
      <c r="G26" s="35">
        <f t="shared" si="35"/>
        <v>0.10079884332364054</v>
      </c>
      <c r="H26" s="1">
        <f t="shared" si="32"/>
        <v>9.3339927278532894E-2</v>
      </c>
      <c r="I26" s="1">
        <f t="shared" si="33"/>
        <v>7.1765680213363173E-2</v>
      </c>
      <c r="J26" s="1">
        <f t="shared" si="34"/>
        <v>6.1923829097164151E-2</v>
      </c>
      <c r="L26" s="9"/>
      <c r="M26" s="9"/>
      <c r="N26" s="9"/>
      <c r="O26" s="9"/>
      <c r="P26" s="9"/>
      <c r="Q26" s="9"/>
      <c r="R26" s="9"/>
      <c r="AD26" s="10"/>
      <c r="AE26" s="10"/>
      <c r="AF26" s="10"/>
      <c r="AG26" s="10"/>
      <c r="AH26" s="10"/>
      <c r="AI26" s="10"/>
      <c r="AJ26" s="10"/>
    </row>
    <row r="27" spans="2:36" x14ac:dyDescent="0.25">
      <c r="B27" s="47" t="s">
        <v>16</v>
      </c>
      <c r="C27" s="1">
        <f t="shared" si="28"/>
        <v>1.5722162497401895</v>
      </c>
      <c r="D27" s="1">
        <f t="shared" si="29"/>
        <v>5.3554329559838232</v>
      </c>
      <c r="E27" s="1">
        <f t="shared" si="30"/>
        <v>1.4523526186016895</v>
      </c>
      <c r="F27" s="1">
        <f t="shared" si="31"/>
        <v>0.31510637944562836</v>
      </c>
      <c r="G27" s="35">
        <f t="shared" si="35"/>
        <v>0.25631571327678276</v>
      </c>
      <c r="H27" s="1">
        <f t="shared" si="32"/>
        <v>0.84900371215482295</v>
      </c>
      <c r="I27" s="1">
        <f t="shared" si="33"/>
        <v>0.23773318589177564</v>
      </c>
      <c r="J27" s="1">
        <f t="shared" si="34"/>
        <v>4.7028090704914649E-2</v>
      </c>
      <c r="AD27" s="10"/>
      <c r="AE27" s="10"/>
      <c r="AF27" s="10"/>
      <c r="AG27" s="10"/>
      <c r="AH27" s="10"/>
      <c r="AI27" s="10"/>
      <c r="AJ27" s="10"/>
    </row>
    <row r="28" spans="2:36" x14ac:dyDescent="0.25">
      <c r="B28" s="47" t="s">
        <v>18</v>
      </c>
      <c r="C28" s="1">
        <f t="shared" si="28"/>
        <v>0.29116501876246181</v>
      </c>
      <c r="D28" s="1">
        <f t="shared" si="29"/>
        <v>0.57242534863894645</v>
      </c>
      <c r="E28" s="1">
        <f t="shared" si="30"/>
        <v>0.26305935117145124</v>
      </c>
      <c r="F28" s="1">
        <f t="shared" si="31"/>
        <v>0.14419535495377825</v>
      </c>
      <c r="G28" s="35">
        <f t="shared" si="35"/>
        <v>4.8196354967103061E-2</v>
      </c>
      <c r="H28" s="1">
        <f t="shared" si="32"/>
        <v>8.9399051350759581E-2</v>
      </c>
      <c r="I28" s="1">
        <f t="shared" si="33"/>
        <v>4.2550089770069126E-2</v>
      </c>
      <c r="J28" s="1">
        <f t="shared" si="34"/>
        <v>2.1928922297035938E-2</v>
      </c>
      <c r="AD28" s="10"/>
      <c r="AE28" s="10"/>
      <c r="AF28" s="10"/>
      <c r="AG28" s="10"/>
      <c r="AH28" s="10"/>
      <c r="AI28" s="10"/>
      <c r="AJ28" s="10"/>
    </row>
    <row r="29" spans="2:36" x14ac:dyDescent="0.25">
      <c r="B29" s="47" t="s">
        <v>19</v>
      </c>
      <c r="C29" s="1">
        <f t="shared" si="28"/>
        <v>0.64750162008548928</v>
      </c>
      <c r="D29" s="1">
        <f t="shared" si="29"/>
        <v>1.0797657246961327</v>
      </c>
      <c r="E29" s="1">
        <f t="shared" si="30"/>
        <v>0.52260172481661515</v>
      </c>
      <c r="F29" s="1">
        <f t="shared" si="31"/>
        <v>0.32677070354967669</v>
      </c>
      <c r="G29" s="35">
        <f t="shared" si="35"/>
        <v>0.29347690478888983</v>
      </c>
      <c r="H29" s="1">
        <f t="shared" si="32"/>
        <v>0.46229129208118486</v>
      </c>
      <c r="I29" s="1">
        <f t="shared" si="33"/>
        <v>0.22845864003619196</v>
      </c>
      <c r="J29" s="1">
        <f t="shared" si="34"/>
        <v>0.13580638313481622</v>
      </c>
      <c r="AD29" s="10"/>
      <c r="AE29" s="10"/>
      <c r="AF29" s="10"/>
      <c r="AG29" s="10"/>
      <c r="AH29" s="10"/>
      <c r="AI29" s="10"/>
      <c r="AJ29" s="10"/>
    </row>
    <row r="30" spans="2:36" x14ac:dyDescent="0.25">
      <c r="B30" s="47" t="s">
        <v>20</v>
      </c>
      <c r="C30" s="1">
        <f t="shared" si="28"/>
        <v>3.014851136747183E-2</v>
      </c>
      <c r="D30" s="1">
        <f t="shared" si="29"/>
        <v>5.4853361401900648E-2</v>
      </c>
      <c r="E30" s="1">
        <f t="shared" si="30"/>
        <v>2.0380472529436987E-2</v>
      </c>
      <c r="F30" s="1">
        <f t="shared" si="31"/>
        <v>7.3226714235564054E-3</v>
      </c>
      <c r="G30" s="35">
        <f t="shared" si="35"/>
        <v>2.2710982242119204E-2</v>
      </c>
      <c r="H30" s="1">
        <f t="shared" si="32"/>
        <v>3.8541795788006983E-2</v>
      </c>
      <c r="I30" s="1">
        <f t="shared" si="33"/>
        <v>1.4825070223404688E-2</v>
      </c>
      <c r="J30" s="1">
        <f t="shared" si="34"/>
        <v>5.0369822524533705E-3</v>
      </c>
      <c r="AD30" s="10"/>
      <c r="AE30" s="10"/>
      <c r="AF30" s="10"/>
      <c r="AG30" s="10"/>
      <c r="AH30" s="10"/>
      <c r="AI30" s="10"/>
      <c r="AJ30" s="10"/>
    </row>
    <row r="31" spans="2:36" x14ac:dyDescent="0.25">
      <c r="B31" s="47" t="s">
        <v>21</v>
      </c>
      <c r="C31" s="1">
        <f t="shared" si="28"/>
        <v>0.31754221303744384</v>
      </c>
      <c r="D31" s="1">
        <f t="shared" si="29"/>
        <v>0.6088099140753559</v>
      </c>
      <c r="E31" s="1">
        <f t="shared" si="30"/>
        <v>0.45081590964162327</v>
      </c>
      <c r="F31" s="1">
        <f t="shared" si="31"/>
        <v>0.34314055780458802</v>
      </c>
      <c r="G31" s="35">
        <f t="shared" si="35"/>
        <v>2.2475363438702958E-2</v>
      </c>
      <c r="H31" s="1">
        <f t="shared" si="32"/>
        <v>4.0006733461021772E-2</v>
      </c>
      <c r="I31" s="1">
        <f t="shared" si="33"/>
        <v>3.1987387166270809E-2</v>
      </c>
      <c r="J31" s="1">
        <f t="shared" si="34"/>
        <v>2.2461011269406781E-2</v>
      </c>
      <c r="AD31" s="10"/>
      <c r="AE31" s="10"/>
      <c r="AF31" s="10"/>
      <c r="AG31" s="10"/>
      <c r="AH31" s="10"/>
      <c r="AI31" s="10"/>
      <c r="AJ31" s="10"/>
    </row>
    <row r="32" spans="2:36" x14ac:dyDescent="0.25">
      <c r="B32" s="47" t="s">
        <v>103</v>
      </c>
      <c r="C32" s="1">
        <f t="shared" si="28"/>
        <v>4.118961463183374</v>
      </c>
      <c r="D32" s="1">
        <f t="shared" si="29"/>
        <v>10.414188238002705</v>
      </c>
      <c r="E32" s="1">
        <f t="shared" si="30"/>
        <v>0.80893731877544051</v>
      </c>
      <c r="F32" s="1">
        <f t="shared" si="31"/>
        <v>2.921291032365863</v>
      </c>
      <c r="G32" s="35">
        <f t="shared" si="35"/>
        <v>8.6849517193322012E-2</v>
      </c>
      <c r="H32" s="1">
        <f t="shared" si="32"/>
        <v>0.20613821588958223</v>
      </c>
      <c r="I32" s="1">
        <f t="shared" si="33"/>
        <v>1.6771082072288109E-2</v>
      </c>
      <c r="J32" s="1">
        <f t="shared" si="34"/>
        <v>5.5971036510814455E-2</v>
      </c>
      <c r="AD32" s="10"/>
      <c r="AE32" s="10"/>
      <c r="AF32" s="10"/>
      <c r="AG32" s="10"/>
      <c r="AH32" s="10"/>
      <c r="AI32" s="10"/>
      <c r="AJ32" s="10"/>
    </row>
    <row r="33" spans="1:36" x14ac:dyDescent="0.25">
      <c r="B33" s="47" t="s">
        <v>10</v>
      </c>
      <c r="C33" s="1">
        <f t="shared" si="28"/>
        <v>0.38179694259415992</v>
      </c>
      <c r="D33" s="1">
        <f t="shared" si="29"/>
        <v>0.58686111977097721</v>
      </c>
      <c r="E33" s="1">
        <f t="shared" si="30"/>
        <v>0.45898636988178548</v>
      </c>
      <c r="F33" s="1">
        <f t="shared" si="31"/>
        <v>0.17305996879191674</v>
      </c>
      <c r="G33" s="35"/>
      <c r="H33" s="1"/>
      <c r="I33" s="1"/>
      <c r="J33" s="1"/>
      <c r="N33" s="27"/>
      <c r="O33" s="27"/>
      <c r="P33" s="27"/>
      <c r="AD33" s="10"/>
      <c r="AE33" s="10"/>
      <c r="AF33" s="10"/>
      <c r="AG33" s="10"/>
      <c r="AH33" s="10"/>
      <c r="AI33" s="10"/>
      <c r="AJ33" s="10"/>
    </row>
    <row r="34" spans="1:36" x14ac:dyDescent="0.25">
      <c r="N34" s="28"/>
      <c r="O34" s="28"/>
      <c r="P34" s="28"/>
      <c r="AD34" s="10"/>
      <c r="AE34" s="10"/>
      <c r="AF34" s="10"/>
      <c r="AG34" s="10"/>
      <c r="AH34" s="10"/>
      <c r="AI34" s="10"/>
      <c r="AJ34" s="10"/>
    </row>
    <row r="35" spans="1:36" x14ac:dyDescent="0.25">
      <c r="N35" s="28"/>
      <c r="O35" s="28"/>
      <c r="P35" s="28"/>
      <c r="AD35" s="10"/>
      <c r="AE35" s="10"/>
      <c r="AF35" s="10"/>
      <c r="AG35" s="10"/>
      <c r="AH35" s="10"/>
      <c r="AI35" s="10"/>
      <c r="AJ35" s="10"/>
    </row>
    <row r="36" spans="1:36" x14ac:dyDescent="0.25">
      <c r="AD36" s="10"/>
      <c r="AE36" s="10"/>
      <c r="AF36" s="10"/>
      <c r="AG36" s="10"/>
      <c r="AH36" s="10"/>
      <c r="AI36" s="10"/>
      <c r="AJ36" s="10"/>
    </row>
    <row r="37" spans="1:36" x14ac:dyDescent="0.25">
      <c r="A37" s="14" t="s">
        <v>46</v>
      </c>
      <c r="B37">
        <f>M4*0.4*N20</f>
        <v>1.168213593201856</v>
      </c>
      <c r="C37">
        <f>S4*0.4*O20</f>
        <v>2.2732510871526119</v>
      </c>
      <c r="D37">
        <f>Y4*0.4*P20</f>
        <v>1.1836894454599525</v>
      </c>
      <c r="E37">
        <f>AE4*0.4*Q20</f>
        <v>3.1067947799619939</v>
      </c>
      <c r="F37">
        <f>AK4*0.4*R20</f>
        <v>0.94233325563516079</v>
      </c>
      <c r="G37">
        <f>AQ4*0.4*S20</f>
        <v>1.6931579074654763</v>
      </c>
      <c r="H37">
        <f>AW4*0.4*T20</f>
        <v>0.96011955346788036</v>
      </c>
      <c r="I37">
        <f>BC4*0.4*U20</f>
        <v>0.90248217523864649</v>
      </c>
      <c r="J37">
        <f>BI4*0.4*V20</f>
        <v>1.7752273874526676</v>
      </c>
      <c r="K37">
        <f>BO4*0.4*W20</f>
        <v>0.47889905980733144</v>
      </c>
      <c r="L37">
        <f>BU4*0.4*X20</f>
        <v>1.1702420126163848</v>
      </c>
      <c r="M37">
        <f>CA4*0.4*Y20</f>
        <v>0.36648573819318242</v>
      </c>
      <c r="AD37" s="10"/>
      <c r="AE37" s="10"/>
      <c r="AF37" s="10"/>
      <c r="AG37" s="10"/>
      <c r="AH37" s="10"/>
      <c r="AI37" s="10"/>
      <c r="AJ37" s="10"/>
    </row>
    <row r="38" spans="1:36" x14ac:dyDescent="0.25">
      <c r="A38" s="14" t="s">
        <v>47</v>
      </c>
      <c r="B38">
        <f>M6*0.1*N20</f>
        <v>1.0298793947990899</v>
      </c>
      <c r="C38">
        <f>S6*0.1*O20</f>
        <v>0.68869011923487689</v>
      </c>
      <c r="D38">
        <f>Y6*0.1*P20</f>
        <v>1.2035622605983916</v>
      </c>
      <c r="E38">
        <f>AE6*0.1*Q20</f>
        <v>0.75686431505071516</v>
      </c>
      <c r="F38">
        <f>AK6*0.1*R20</f>
        <v>0.56180810659882063</v>
      </c>
      <c r="G38">
        <f>AQ6*0.1*S20</f>
        <v>1.257613335908945</v>
      </c>
      <c r="H38">
        <f>AW6*0.1*T20</f>
        <v>0.48277901919847466</v>
      </c>
      <c r="I38">
        <f>BC6*0.1*U20</f>
        <v>0.62565029127846128</v>
      </c>
      <c r="J38">
        <f>BI6*0.1*V20</f>
        <v>0.64447653227827673</v>
      </c>
      <c r="K38">
        <f>BO6*0.1*W20</f>
        <v>9.5298500767785593E-2</v>
      </c>
      <c r="L38">
        <f>BU6*0.1*X20</f>
        <v>0.28297480247740697</v>
      </c>
      <c r="M38">
        <f>CA6*0.1*Y20</f>
        <v>0.171065248948468</v>
      </c>
      <c r="AD38" s="10"/>
      <c r="AE38" s="10"/>
      <c r="AF38" s="10"/>
      <c r="AG38" s="10"/>
      <c r="AH38" s="10"/>
      <c r="AI38" s="10"/>
      <c r="AJ38" s="10"/>
    </row>
    <row r="39" spans="1:36" x14ac:dyDescent="0.25">
      <c r="A39" s="14" t="s">
        <v>48</v>
      </c>
      <c r="B39">
        <f>M5*0.15*N20</f>
        <v>67.705324261577104</v>
      </c>
      <c r="C39">
        <f>S5*0.15*O20</f>
        <v>54.639128240076225</v>
      </c>
      <c r="D39">
        <f>Y5*0.15*P20</f>
        <v>69.128925544903893</v>
      </c>
      <c r="E39">
        <f>AE5*0.15*Q20</f>
        <v>94.72484629772957</v>
      </c>
      <c r="F39">
        <f>AK5*0.15*R20</f>
        <v>88.180326793973279</v>
      </c>
      <c r="G39">
        <f>AQ5*0.15*S20</f>
        <v>194.63759898848633</v>
      </c>
      <c r="H39">
        <f>AW5*0.15*T20</f>
        <v>86.080280576645919</v>
      </c>
      <c r="I39">
        <f>BC5*0.15*U20</f>
        <v>59.890910710470301</v>
      </c>
      <c r="J39">
        <f>BI5*0.15*V20</f>
        <v>70.672313291686294</v>
      </c>
      <c r="K39">
        <f>BO5*0.15*W20</f>
        <v>31.388710115632701</v>
      </c>
      <c r="L39">
        <f>BU5*0.15*X20</f>
        <v>30.208193660636276</v>
      </c>
      <c r="M39">
        <f>CA5*0.15*Y20</f>
        <v>41.767127565318241</v>
      </c>
    </row>
    <row r="40" spans="1:36" x14ac:dyDescent="0.25">
      <c r="A40" s="14" t="s">
        <v>50</v>
      </c>
      <c r="B40">
        <f>M8*0.2*N20</f>
        <v>28.467643595293893</v>
      </c>
      <c r="C40">
        <f>S8*0.2*O20</f>
        <v>17.997149714071071</v>
      </c>
      <c r="D40">
        <f>Y8*0.2*P20</f>
        <v>17.401672684954516</v>
      </c>
      <c r="E40">
        <f>AE8*0.2*Q20</f>
        <v>8.814655267468039</v>
      </c>
      <c r="F40">
        <f>AK8*0.2*R20</f>
        <v>14.732657502776005</v>
      </c>
      <c r="G40">
        <f>AQ8*0.2*S20</f>
        <v>22.229257951904813</v>
      </c>
      <c r="H40">
        <f>AW8*0.2*T20</f>
        <v>11.488492472333778</v>
      </c>
      <c r="I40">
        <f>BC8*0.2*U20</f>
        <v>6.8837350138573754</v>
      </c>
      <c r="J40">
        <f>BI8*0.2*V20</f>
        <v>14.776612685363936</v>
      </c>
      <c r="K40">
        <f>BO8*0.2*W20</f>
        <v>4.6345125493777743</v>
      </c>
      <c r="L40">
        <f>BU8*0.2*X20</f>
        <v>5.5582308130415408</v>
      </c>
      <c r="M40">
        <f>CA8*0.2*Y20</f>
        <v>3.1947053229657665</v>
      </c>
    </row>
    <row r="44" spans="1:36" x14ac:dyDescent="0.25">
      <c r="S44" t="s">
        <v>51</v>
      </c>
    </row>
  </sheetData>
  <mergeCells count="27">
    <mergeCell ref="B19:B20"/>
    <mergeCell ref="L25:R25"/>
    <mergeCell ref="A1:A2"/>
    <mergeCell ref="B1:E1"/>
    <mergeCell ref="H1:H3"/>
    <mergeCell ref="G1:G3"/>
    <mergeCell ref="N16:P16"/>
    <mergeCell ref="K2:P2"/>
    <mergeCell ref="Q2:V2"/>
    <mergeCell ref="T16:V16"/>
    <mergeCell ref="K1:CA1"/>
    <mergeCell ref="J1:J3"/>
    <mergeCell ref="C19:F19"/>
    <mergeCell ref="W2:AB2"/>
    <mergeCell ref="BS2:BX2"/>
    <mergeCell ref="BY2:CD2"/>
    <mergeCell ref="G19:J19"/>
    <mergeCell ref="AO2:AT2"/>
    <mergeCell ref="AU2:AZ2"/>
    <mergeCell ref="BA2:BF2"/>
    <mergeCell ref="BG2:BL2"/>
    <mergeCell ref="BM2:BR2"/>
    <mergeCell ref="AC2:AH2"/>
    <mergeCell ref="Z16:AB16"/>
    <mergeCell ref="AF16:AH16"/>
    <mergeCell ref="AI2:AN2"/>
    <mergeCell ref="AL16:AN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workbookViewId="0">
      <selection activeCell="H35" sqref="H35"/>
    </sheetView>
  </sheetViews>
  <sheetFormatPr defaultRowHeight="15" x14ac:dyDescent="0.25"/>
  <cols>
    <col min="2" max="2" width="15.140625" bestFit="1" customWidth="1"/>
    <col min="3" max="3" width="22" bestFit="1" customWidth="1"/>
    <col min="4" max="4" width="19.28515625" bestFit="1" customWidth="1"/>
    <col min="5" max="5" width="19.28515625" customWidth="1"/>
  </cols>
  <sheetData>
    <row r="3" spans="2:5" x14ac:dyDescent="0.25">
      <c r="B3" s="71" t="s">
        <v>41</v>
      </c>
      <c r="C3" s="49" t="s">
        <v>60</v>
      </c>
      <c r="D3" s="49" t="s">
        <v>61</v>
      </c>
      <c r="E3" s="33"/>
    </row>
    <row r="4" spans="2:5" x14ac:dyDescent="0.25">
      <c r="B4" s="72"/>
      <c r="C4" s="49"/>
      <c r="D4" s="49"/>
      <c r="E4" s="33"/>
    </row>
    <row r="5" spans="2:5" x14ac:dyDescent="0.25">
      <c r="B5" s="2" t="s">
        <v>11</v>
      </c>
      <c r="C5" s="36">
        <v>0.106</v>
      </c>
      <c r="D5" s="36">
        <v>8.5400000000000007E-3</v>
      </c>
      <c r="E5" s="38"/>
    </row>
    <row r="6" spans="2:5" x14ac:dyDescent="0.25">
      <c r="B6" s="2" t="s">
        <v>12</v>
      </c>
      <c r="C6" s="36">
        <v>2.73</v>
      </c>
      <c r="D6" s="36">
        <v>1.25</v>
      </c>
      <c r="E6" s="38"/>
    </row>
    <row r="7" spans="2:5" x14ac:dyDescent="0.25">
      <c r="B7" s="2" t="s">
        <v>14</v>
      </c>
      <c r="C7" s="36">
        <v>8.6099999999999996E-3</v>
      </c>
      <c r="D7" s="36">
        <v>1.9599999999999999E-2</v>
      </c>
      <c r="E7" s="38"/>
    </row>
    <row r="8" spans="2:5" x14ac:dyDescent="0.25">
      <c r="B8" s="2" t="s">
        <v>15</v>
      </c>
      <c r="C8" s="36">
        <v>0.158</v>
      </c>
      <c r="D8" s="36">
        <v>0.16900000000000001</v>
      </c>
      <c r="E8" s="38"/>
    </row>
    <row r="9" spans="2:5" x14ac:dyDescent="0.25">
      <c r="B9" s="2" t="s">
        <v>17</v>
      </c>
      <c r="C9" s="36">
        <v>7.1300000000000001E-3</v>
      </c>
      <c r="D9" s="36">
        <v>8.1000000000000003E-2</v>
      </c>
      <c r="E9" s="38"/>
    </row>
    <row r="10" spans="2:5" x14ac:dyDescent="0.25">
      <c r="B10" s="2" t="s">
        <v>16</v>
      </c>
      <c r="C10" s="36">
        <v>3.09E-2</v>
      </c>
      <c r="D10" s="36">
        <v>0.19400000000000001</v>
      </c>
      <c r="E10" s="38"/>
    </row>
    <row r="11" spans="2:5" x14ac:dyDescent="0.25">
      <c r="B11" s="2" t="s">
        <v>18</v>
      </c>
      <c r="C11" s="36">
        <v>4.4400000000000004E-3</v>
      </c>
      <c r="D11" s="36">
        <v>2.7900000000000001E-2</v>
      </c>
      <c r="E11" s="38"/>
    </row>
    <row r="12" spans="2:5" x14ac:dyDescent="0.25">
      <c r="B12" s="2" t="s">
        <v>19</v>
      </c>
      <c r="C12" s="36">
        <v>2.4500000000000001E-2</v>
      </c>
      <c r="D12" s="36">
        <v>5.6399999999999999E-2</v>
      </c>
      <c r="E12" s="38"/>
    </row>
    <row r="13" spans="2:5" x14ac:dyDescent="0.25">
      <c r="B13" s="2" t="s">
        <v>20</v>
      </c>
      <c r="C13" s="36">
        <v>1.7799999999999999E-3</v>
      </c>
      <c r="D13" s="36">
        <v>2.47E-3</v>
      </c>
      <c r="E13" s="38"/>
    </row>
    <row r="14" spans="2:5" x14ac:dyDescent="0.25">
      <c r="B14" s="2" t="s">
        <v>21</v>
      </c>
      <c r="C14" s="36">
        <v>2.14E-3</v>
      </c>
      <c r="D14" s="36">
        <v>3.7400000000000003E-2</v>
      </c>
      <c r="E14" s="38"/>
    </row>
    <row r="15" spans="2:5" x14ac:dyDescent="0.25">
      <c r="B15" s="2" t="s">
        <v>45</v>
      </c>
      <c r="C15" s="36">
        <v>7.9500000000000005E-3</v>
      </c>
      <c r="D15" s="36">
        <v>0.39800000000000002</v>
      </c>
      <c r="E15" s="38"/>
    </row>
  </sheetData>
  <mergeCells count="3">
    <mergeCell ref="B3:B4"/>
    <mergeCell ref="D3:D4"/>
    <mergeCell ref="C3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4"/>
  <sheetViews>
    <sheetView workbookViewId="0">
      <selection activeCell="B3" sqref="B3:F3"/>
    </sheetView>
  </sheetViews>
  <sheetFormatPr defaultRowHeight="15" x14ac:dyDescent="0.25"/>
  <cols>
    <col min="2" max="2" width="23.42578125" bestFit="1" customWidth="1"/>
    <col min="3" max="3" width="14.5703125" bestFit="1" customWidth="1"/>
    <col min="4" max="5" width="9.42578125" bestFit="1" customWidth="1"/>
    <col min="6" max="6" width="8.28515625" bestFit="1" customWidth="1"/>
    <col min="11" max="11" width="23.42578125" bestFit="1" customWidth="1"/>
    <col min="13" max="13" width="10.42578125" bestFit="1" customWidth="1"/>
  </cols>
  <sheetData>
    <row r="3" spans="2:17" x14ac:dyDescent="0.25">
      <c r="B3" s="73" t="s">
        <v>98</v>
      </c>
      <c r="C3" s="73"/>
      <c r="D3" s="73"/>
      <c r="E3" s="73"/>
      <c r="F3" s="73"/>
      <c r="K3" s="73" t="s">
        <v>99</v>
      </c>
      <c r="L3" s="73"/>
      <c r="M3" s="73"/>
      <c r="N3" s="73"/>
      <c r="O3" s="73"/>
    </row>
    <row r="5" spans="2:17" x14ac:dyDescent="0.25">
      <c r="B5" t="s">
        <v>96</v>
      </c>
      <c r="C5" t="s">
        <v>95</v>
      </c>
      <c r="D5" t="s">
        <v>94</v>
      </c>
      <c r="E5" t="s">
        <v>93</v>
      </c>
      <c r="F5" t="s">
        <v>92</v>
      </c>
      <c r="G5" t="s">
        <v>91</v>
      </c>
      <c r="H5" t="s">
        <v>90</v>
      </c>
      <c r="K5" t="s">
        <v>96</v>
      </c>
      <c r="L5" t="s">
        <v>95</v>
      </c>
      <c r="M5" t="s">
        <v>94</v>
      </c>
      <c r="N5" t="s">
        <v>93</v>
      </c>
      <c r="O5" t="s">
        <v>92</v>
      </c>
      <c r="P5" t="s">
        <v>91</v>
      </c>
      <c r="Q5" t="s">
        <v>90</v>
      </c>
    </row>
    <row r="7" spans="2:17" x14ac:dyDescent="0.25">
      <c r="B7" t="s">
        <v>89</v>
      </c>
      <c r="C7" s="37">
        <v>0</v>
      </c>
      <c r="D7" s="37">
        <v>0</v>
      </c>
      <c r="E7" s="37">
        <v>2.0200000000000001E-3</v>
      </c>
      <c r="F7" s="37">
        <v>2.0200000000000001E-3</v>
      </c>
      <c r="G7" s="37">
        <v>0</v>
      </c>
      <c r="H7" s="37">
        <v>1.01E-5</v>
      </c>
      <c r="K7" t="s">
        <v>89</v>
      </c>
      <c r="L7" s="37">
        <v>0</v>
      </c>
      <c r="M7" s="37">
        <v>0</v>
      </c>
      <c r="N7" s="37">
        <v>2.5899999999999999E-3</v>
      </c>
      <c r="O7" s="37">
        <v>2.5899999999999999E-3</v>
      </c>
      <c r="P7" s="37">
        <v>0</v>
      </c>
      <c r="Q7" s="37">
        <v>1.29E-5</v>
      </c>
    </row>
    <row r="8" spans="2:17" x14ac:dyDescent="0.25">
      <c r="B8" t="s">
        <v>88</v>
      </c>
      <c r="C8" s="37">
        <v>0</v>
      </c>
      <c r="D8" s="37">
        <v>1.5099999999999999E-5</v>
      </c>
      <c r="E8" s="37">
        <v>1.08E-3</v>
      </c>
      <c r="F8" s="37">
        <v>1.1000000000000001E-3</v>
      </c>
      <c r="G8" s="37">
        <v>0</v>
      </c>
      <c r="H8" s="37">
        <v>5.48E-6</v>
      </c>
      <c r="K8" t="s">
        <v>88</v>
      </c>
      <c r="L8" s="37">
        <v>0</v>
      </c>
      <c r="M8" s="37">
        <v>1.7799999999999999E-5</v>
      </c>
      <c r="N8" s="37">
        <v>1.2999999999999999E-3</v>
      </c>
      <c r="O8" s="37">
        <v>1.32E-3</v>
      </c>
      <c r="P8" s="37">
        <v>0</v>
      </c>
      <c r="Q8" s="37">
        <v>6.5899999999999996E-6</v>
      </c>
    </row>
    <row r="9" spans="2:17" x14ac:dyDescent="0.25">
      <c r="B9" t="s">
        <v>87</v>
      </c>
      <c r="C9" s="37">
        <v>0</v>
      </c>
      <c r="D9" s="37">
        <v>0</v>
      </c>
      <c r="E9" s="37">
        <v>4.5600000000000003E-4</v>
      </c>
      <c r="F9" s="37">
        <v>4.5600000000000003E-4</v>
      </c>
      <c r="G9" s="37">
        <v>6.8399999999999996E-5</v>
      </c>
      <c r="H9" s="37">
        <v>2.2799999999999999E-5</v>
      </c>
      <c r="K9" t="s">
        <v>87</v>
      </c>
      <c r="L9" s="37">
        <v>0</v>
      </c>
      <c r="M9" s="37">
        <v>0</v>
      </c>
      <c r="N9" s="37">
        <v>5.6099999999999998E-4</v>
      </c>
      <c r="O9" s="37">
        <v>5.6099999999999998E-4</v>
      </c>
      <c r="P9" s="37">
        <v>8.42E-5</v>
      </c>
      <c r="Q9" s="37">
        <v>2.8099999999999999E-5</v>
      </c>
    </row>
    <row r="10" spans="2:17" x14ac:dyDescent="0.25">
      <c r="B10" t="s">
        <v>86</v>
      </c>
      <c r="C10" s="37">
        <v>0</v>
      </c>
      <c r="D10" s="37">
        <v>0</v>
      </c>
      <c r="E10" s="37">
        <v>1.39E-3</v>
      </c>
      <c r="F10" s="37">
        <v>1.39E-3</v>
      </c>
      <c r="G10" s="37">
        <v>0</v>
      </c>
      <c r="H10" s="37">
        <v>0</v>
      </c>
      <c r="K10" t="s">
        <v>86</v>
      </c>
      <c r="L10" s="37">
        <v>0</v>
      </c>
      <c r="M10" s="37">
        <v>0</v>
      </c>
      <c r="N10" s="37">
        <v>1.6999999999999999E-3</v>
      </c>
      <c r="O10" s="37">
        <v>1.6999999999999999E-3</v>
      </c>
      <c r="P10" s="37">
        <v>0</v>
      </c>
      <c r="Q10" s="37">
        <v>0</v>
      </c>
    </row>
    <row r="11" spans="2:17" x14ac:dyDescent="0.25">
      <c r="B11" t="s">
        <v>85</v>
      </c>
      <c r="C11" s="37">
        <v>0</v>
      </c>
      <c r="D11" s="37">
        <v>5.9400000000000002E-4</v>
      </c>
      <c r="E11" s="37">
        <v>1.83E-3</v>
      </c>
      <c r="F11" s="37">
        <v>2.4299999999999999E-3</v>
      </c>
      <c r="G11" s="37">
        <v>0</v>
      </c>
      <c r="H11" s="37">
        <v>2.9100000000000003E-4</v>
      </c>
      <c r="K11" t="s">
        <v>85</v>
      </c>
      <c r="L11" s="37">
        <v>0</v>
      </c>
      <c r="M11" s="37">
        <v>6.29E-4</v>
      </c>
      <c r="N11" s="37">
        <v>2.2699999999999999E-3</v>
      </c>
      <c r="O11" s="37">
        <v>2.8999999999999998E-3</v>
      </c>
      <c r="P11" s="37">
        <v>0</v>
      </c>
      <c r="Q11" s="37">
        <v>3.48E-4</v>
      </c>
    </row>
    <row r="12" spans="2:17" x14ac:dyDescent="0.25">
      <c r="B12" t="s">
        <v>84</v>
      </c>
      <c r="C12" s="37">
        <v>0</v>
      </c>
      <c r="D12" s="37">
        <v>0</v>
      </c>
      <c r="E12" s="37">
        <v>1.1800000000000001E-3</v>
      </c>
      <c r="F12" s="37">
        <v>1.1800000000000001E-3</v>
      </c>
      <c r="G12" s="37">
        <v>0</v>
      </c>
      <c r="H12" s="37">
        <v>5.8799999999999996E-6</v>
      </c>
      <c r="K12" t="s">
        <v>84</v>
      </c>
      <c r="L12" s="37">
        <v>0</v>
      </c>
      <c r="M12" s="37">
        <v>0</v>
      </c>
      <c r="N12" s="37">
        <v>1.48E-3</v>
      </c>
      <c r="O12" s="37">
        <v>1.48E-3</v>
      </c>
      <c r="P12" s="37">
        <v>0</v>
      </c>
      <c r="Q12" s="37">
        <v>7.4200000000000001E-6</v>
      </c>
    </row>
    <row r="13" spans="2:17" x14ac:dyDescent="0.25">
      <c r="B13" t="s">
        <v>83</v>
      </c>
      <c r="C13" s="37">
        <v>0</v>
      </c>
      <c r="D13" s="37">
        <v>6.2299999999999996E-4</v>
      </c>
      <c r="E13" s="37">
        <v>1.48E-3</v>
      </c>
      <c r="F13" s="37">
        <v>2.0999999999999999E-3</v>
      </c>
      <c r="G13" s="37">
        <v>0</v>
      </c>
      <c r="H13" s="37">
        <v>2.52E-4</v>
      </c>
      <c r="K13" t="s">
        <v>83</v>
      </c>
      <c r="L13" s="37">
        <v>0</v>
      </c>
      <c r="M13" s="37">
        <v>7.0500000000000001E-4</v>
      </c>
      <c r="N13" s="37">
        <v>1.8500000000000001E-3</v>
      </c>
      <c r="O13" s="37">
        <v>2.5600000000000002E-3</v>
      </c>
      <c r="P13" s="37">
        <v>0</v>
      </c>
      <c r="Q13" s="37">
        <v>3.0699999999999998E-4</v>
      </c>
    </row>
    <row r="14" spans="2:17" x14ac:dyDescent="0.25">
      <c r="B14" t="s">
        <v>82</v>
      </c>
      <c r="C14" s="37">
        <v>0</v>
      </c>
      <c r="D14" s="37">
        <v>0</v>
      </c>
      <c r="E14" s="37">
        <v>1.0499999999999999E-3</v>
      </c>
      <c r="F14" s="37">
        <v>1.0499999999999999E-3</v>
      </c>
      <c r="G14" s="37">
        <v>0</v>
      </c>
      <c r="H14" s="37">
        <v>5.2299999999999999E-6</v>
      </c>
      <c r="K14" t="s">
        <v>82</v>
      </c>
      <c r="L14" s="37">
        <v>0</v>
      </c>
      <c r="M14" s="37">
        <v>0</v>
      </c>
      <c r="N14" s="37">
        <v>1.32E-3</v>
      </c>
      <c r="O14" s="37">
        <v>1.32E-3</v>
      </c>
      <c r="P14" s="37">
        <v>0</v>
      </c>
      <c r="Q14" s="37">
        <v>6.5899999999999996E-6</v>
      </c>
    </row>
    <row r="15" spans="2:17" x14ac:dyDescent="0.25">
      <c r="B15" t="s">
        <v>81</v>
      </c>
      <c r="C15" s="37">
        <v>0</v>
      </c>
      <c r="D15" s="37">
        <v>1.0300000000000001E-3</v>
      </c>
      <c r="E15" s="37">
        <v>1.6100000000000001E-3</v>
      </c>
      <c r="F15" s="37">
        <v>2.64E-3</v>
      </c>
      <c r="G15" s="37">
        <v>1.5799999999999999E-4</v>
      </c>
      <c r="H15" s="37">
        <v>0</v>
      </c>
      <c r="K15" t="s">
        <v>81</v>
      </c>
      <c r="L15" s="37">
        <v>0</v>
      </c>
      <c r="M15" s="37">
        <v>1.2999999999999999E-3</v>
      </c>
      <c r="N15" s="37">
        <v>1.98E-3</v>
      </c>
      <c r="O15" s="37">
        <v>3.2799999999999999E-3</v>
      </c>
      <c r="P15" s="37">
        <v>1.9699999999999999E-4</v>
      </c>
      <c r="Q15" s="37">
        <v>0</v>
      </c>
    </row>
    <row r="16" spans="2:17" x14ac:dyDescent="0.25">
      <c r="B16" t="s">
        <v>80</v>
      </c>
      <c r="C16" s="37">
        <v>0</v>
      </c>
      <c r="D16" s="37">
        <v>5.62E-3</v>
      </c>
      <c r="E16" s="37">
        <v>4.64E-3</v>
      </c>
      <c r="F16" s="37">
        <v>1.03E-2</v>
      </c>
      <c r="G16" s="37">
        <v>6.1600000000000001E-4</v>
      </c>
      <c r="H16" s="37">
        <v>5.13E-5</v>
      </c>
      <c r="K16" t="s">
        <v>80</v>
      </c>
      <c r="L16" s="37">
        <v>0</v>
      </c>
      <c r="M16" s="37">
        <v>6.11E-3</v>
      </c>
      <c r="N16" s="37">
        <v>5.2399999999999999E-3</v>
      </c>
      <c r="O16" s="37">
        <v>1.14E-2</v>
      </c>
      <c r="P16" s="37">
        <v>6.8099999999999996E-4</v>
      </c>
      <c r="Q16" s="37">
        <v>5.6799999999999998E-5</v>
      </c>
    </row>
    <row r="17" spans="2:17" x14ac:dyDescent="0.25">
      <c r="B17" t="s">
        <v>79</v>
      </c>
      <c r="C17" s="37">
        <v>0</v>
      </c>
      <c r="D17" s="37">
        <v>7.67E-4</v>
      </c>
      <c r="E17" s="37">
        <v>1.9400000000000001E-3</v>
      </c>
      <c r="F17" s="37">
        <v>2.7100000000000002E-3</v>
      </c>
      <c r="G17" s="37">
        <v>1.6200000000000001E-4</v>
      </c>
      <c r="H17" s="37">
        <v>1.35E-4</v>
      </c>
      <c r="K17" t="s">
        <v>79</v>
      </c>
      <c r="L17" s="37">
        <v>0</v>
      </c>
      <c r="M17" s="37">
        <v>1.0499999999999999E-3</v>
      </c>
      <c r="N17" s="37">
        <v>2.4199999999999998E-3</v>
      </c>
      <c r="O17" s="37">
        <v>3.46E-3</v>
      </c>
      <c r="P17" s="37">
        <v>2.0799999999999999E-4</v>
      </c>
      <c r="Q17" s="37">
        <v>1.73E-4</v>
      </c>
    </row>
    <row r="18" spans="2:17" x14ac:dyDescent="0.25">
      <c r="B18" t="s">
        <v>78</v>
      </c>
      <c r="C18" s="37">
        <v>0</v>
      </c>
      <c r="D18" s="37">
        <v>4.8899999999999996E-4</v>
      </c>
      <c r="E18" s="37">
        <v>1.17E-3</v>
      </c>
      <c r="F18" s="37">
        <v>1.66E-3</v>
      </c>
      <c r="G18" s="37">
        <v>1.9900000000000001E-4</v>
      </c>
      <c r="H18" s="37">
        <v>1.9900000000000001E-4</v>
      </c>
      <c r="K18" t="s">
        <v>78</v>
      </c>
      <c r="L18" s="37">
        <v>0</v>
      </c>
      <c r="M18" s="37">
        <v>6.11E-4</v>
      </c>
      <c r="N18" s="37">
        <v>1.5299999999999999E-3</v>
      </c>
      <c r="O18" s="37">
        <v>2.14E-3</v>
      </c>
      <c r="P18" s="37">
        <v>2.5700000000000001E-4</v>
      </c>
      <c r="Q18" s="37">
        <v>2.5700000000000001E-4</v>
      </c>
    </row>
    <row r="19" spans="2:17" x14ac:dyDescent="0.25">
      <c r="B19" t="s">
        <v>77</v>
      </c>
      <c r="C19" s="37">
        <v>0</v>
      </c>
      <c r="D19" s="37">
        <v>2.6400000000000001E-6</v>
      </c>
      <c r="E19" s="37">
        <v>1.06E-3</v>
      </c>
      <c r="F19" s="37">
        <v>1.07E-3</v>
      </c>
      <c r="G19" s="37">
        <v>0</v>
      </c>
      <c r="H19" s="37">
        <v>5.3399999999999997E-6</v>
      </c>
      <c r="K19" t="s">
        <v>77</v>
      </c>
      <c r="L19" s="37">
        <v>0</v>
      </c>
      <c r="M19" s="37">
        <v>4.3499999999999999E-6</v>
      </c>
      <c r="N19" s="37">
        <v>1.2999999999999999E-3</v>
      </c>
      <c r="O19" s="37">
        <v>1.31E-3</v>
      </c>
      <c r="P19" s="37">
        <v>0</v>
      </c>
      <c r="Q19" s="37">
        <v>6.55E-6</v>
      </c>
    </row>
    <row r="20" spans="2:17" x14ac:dyDescent="0.25">
      <c r="B20" t="s">
        <v>76</v>
      </c>
      <c r="C20" s="37">
        <v>0</v>
      </c>
      <c r="D20" s="37">
        <v>0</v>
      </c>
      <c r="E20" s="37">
        <v>1.5499999999999999E-3</v>
      </c>
      <c r="F20" s="37">
        <v>1.5499999999999999E-3</v>
      </c>
      <c r="G20" s="37">
        <v>3.88E-4</v>
      </c>
      <c r="H20" s="37">
        <v>3.1100000000000002E-4</v>
      </c>
      <c r="K20" t="s">
        <v>76</v>
      </c>
      <c r="L20" s="37">
        <v>0</v>
      </c>
      <c r="M20" s="37">
        <v>0</v>
      </c>
      <c r="N20" s="37">
        <v>1.98E-3</v>
      </c>
      <c r="O20" s="37">
        <v>1.98E-3</v>
      </c>
      <c r="P20" s="37">
        <v>4.95E-4</v>
      </c>
      <c r="Q20" s="37">
        <v>3.9599999999999998E-4</v>
      </c>
    </row>
    <row r="21" spans="2:17" x14ac:dyDescent="0.25">
      <c r="B21" t="s">
        <v>75</v>
      </c>
      <c r="C21" s="37">
        <v>0</v>
      </c>
      <c r="D21" s="37">
        <v>0</v>
      </c>
      <c r="E21" s="37">
        <v>1.8400000000000001E-3</v>
      </c>
      <c r="F21" s="37">
        <v>1.8400000000000001E-3</v>
      </c>
      <c r="G21" s="37">
        <v>0</v>
      </c>
      <c r="H21" s="37">
        <v>9.1800000000000002E-6</v>
      </c>
      <c r="K21" t="s">
        <v>75</v>
      </c>
      <c r="L21" s="37">
        <v>0</v>
      </c>
      <c r="M21" s="37">
        <v>0</v>
      </c>
      <c r="N21" s="37">
        <v>2.2699999999999999E-3</v>
      </c>
      <c r="O21" s="37">
        <v>2.2699999999999999E-3</v>
      </c>
      <c r="P21" s="37">
        <v>0</v>
      </c>
      <c r="Q21" s="37">
        <v>1.1399999999999999E-5</v>
      </c>
    </row>
    <row r="22" spans="2:17" x14ac:dyDescent="0.25">
      <c r="B22" t="s">
        <v>74</v>
      </c>
      <c r="C22" s="37">
        <v>0</v>
      </c>
      <c r="D22" s="37">
        <v>1.97E-3</v>
      </c>
      <c r="E22" s="37">
        <v>2.1900000000000001E-3</v>
      </c>
      <c r="F22" s="37">
        <v>4.1599999999999996E-3</v>
      </c>
      <c r="G22" s="37">
        <v>4.9899999999999999E-4</v>
      </c>
      <c r="H22" s="37">
        <v>4.9899999999999999E-4</v>
      </c>
      <c r="K22" t="s">
        <v>74</v>
      </c>
      <c r="L22" s="37">
        <v>0</v>
      </c>
      <c r="M22" s="37">
        <v>2.0500000000000002E-3</v>
      </c>
      <c r="N22" s="37">
        <v>2.65E-3</v>
      </c>
      <c r="O22" s="37">
        <v>4.7000000000000002E-3</v>
      </c>
      <c r="P22" s="37">
        <v>5.6400000000000005E-4</v>
      </c>
      <c r="Q22" s="37">
        <v>5.6400000000000005E-4</v>
      </c>
    </row>
    <row r="23" spans="2:17" x14ac:dyDescent="0.25">
      <c r="B23" t="s">
        <v>73</v>
      </c>
      <c r="C23" s="37">
        <v>0</v>
      </c>
      <c r="D23" s="37">
        <v>2.23E-2</v>
      </c>
      <c r="E23" s="37">
        <v>4.6800000000000001E-3</v>
      </c>
      <c r="F23" s="37">
        <v>2.69E-2</v>
      </c>
      <c r="G23" s="37">
        <v>8.0800000000000002E-4</v>
      </c>
      <c r="H23" s="37">
        <v>2.6899999999999998E-4</v>
      </c>
      <c r="K23" t="s">
        <v>73</v>
      </c>
      <c r="L23" s="37">
        <v>0</v>
      </c>
      <c r="M23" s="37">
        <v>2.9700000000000001E-2</v>
      </c>
      <c r="N23" s="37">
        <v>5.4999999999999997E-3</v>
      </c>
      <c r="O23" s="37">
        <v>3.5200000000000002E-2</v>
      </c>
      <c r="P23" s="37">
        <v>1.06E-3</v>
      </c>
      <c r="Q23" s="37">
        <v>3.5199999999999999E-4</v>
      </c>
    </row>
    <row r="24" spans="2:17" x14ac:dyDescent="0.25">
      <c r="B24" t="s">
        <v>72</v>
      </c>
      <c r="C24" s="37">
        <v>0</v>
      </c>
      <c r="D24" s="37">
        <v>0</v>
      </c>
      <c r="E24" s="37">
        <v>5.6099999999999998E-4</v>
      </c>
      <c r="F24" s="37">
        <v>5.6099999999999998E-4</v>
      </c>
      <c r="G24" s="37">
        <v>0</v>
      </c>
      <c r="H24" s="37">
        <v>5.6099999999999997E-6</v>
      </c>
      <c r="K24" t="s">
        <v>72</v>
      </c>
      <c r="L24" s="37">
        <v>0</v>
      </c>
      <c r="M24" s="37">
        <v>0</v>
      </c>
      <c r="N24" s="37">
        <v>7.0699999999999995E-4</v>
      </c>
      <c r="O24" s="37">
        <v>7.0699999999999995E-4</v>
      </c>
      <c r="P24" s="37">
        <v>0</v>
      </c>
      <c r="Q24" s="37">
        <v>7.0700000000000001E-6</v>
      </c>
    </row>
    <row r="25" spans="2:17" x14ac:dyDescent="0.25">
      <c r="B25" t="s">
        <v>71</v>
      </c>
      <c r="C25" s="37">
        <v>0</v>
      </c>
      <c r="D25" s="37">
        <v>3.8400000000000001E-3</v>
      </c>
      <c r="E25" s="37">
        <v>3.8500000000000001E-3</v>
      </c>
      <c r="F25" s="37">
        <v>7.6899999999999998E-3</v>
      </c>
      <c r="G25" s="37">
        <v>4.6099999999999998E-4</v>
      </c>
      <c r="H25" s="37">
        <v>3.8399999999999998E-5</v>
      </c>
      <c r="K25" t="s">
        <v>71</v>
      </c>
      <c r="L25" s="37">
        <v>0</v>
      </c>
      <c r="M25" s="37">
        <v>4.6800000000000001E-3</v>
      </c>
      <c r="N25" s="37">
        <v>4.5599999999999998E-3</v>
      </c>
      <c r="O25" s="37">
        <v>9.2399999999999999E-3</v>
      </c>
      <c r="P25" s="37">
        <v>5.5500000000000005E-4</v>
      </c>
      <c r="Q25" s="37">
        <v>4.6199999999999998E-5</v>
      </c>
    </row>
    <row r="26" spans="2:17" x14ac:dyDescent="0.25">
      <c r="B26" t="s">
        <v>97</v>
      </c>
      <c r="C26" s="37">
        <v>0</v>
      </c>
      <c r="D26" s="37">
        <v>0</v>
      </c>
      <c r="E26" s="37">
        <v>9.2100000000000005E-4</v>
      </c>
      <c r="F26" s="37">
        <v>9.2100000000000005E-4</v>
      </c>
      <c r="G26" s="37">
        <v>0</v>
      </c>
      <c r="H26" s="37">
        <v>0</v>
      </c>
      <c r="K26" t="s">
        <v>70</v>
      </c>
      <c r="L26" s="37">
        <v>0</v>
      </c>
      <c r="M26" s="37">
        <v>0</v>
      </c>
      <c r="N26" s="37">
        <v>8.6700000000000004E-4</v>
      </c>
      <c r="O26" s="37">
        <v>8.6700000000000004E-4</v>
      </c>
      <c r="P26" s="37">
        <v>0</v>
      </c>
      <c r="Q26" s="37">
        <v>4.33E-6</v>
      </c>
    </row>
    <row r="27" spans="2:17" x14ac:dyDescent="0.25">
      <c r="B27" t="s">
        <v>70</v>
      </c>
      <c r="C27" s="37">
        <v>0</v>
      </c>
      <c r="D27" s="37">
        <v>0</v>
      </c>
      <c r="E27" s="37">
        <v>7.2400000000000003E-4</v>
      </c>
      <c r="F27" s="37">
        <v>7.2400000000000003E-4</v>
      </c>
      <c r="G27" s="37">
        <v>0</v>
      </c>
      <c r="H27" s="37">
        <v>3.6200000000000001E-6</v>
      </c>
      <c r="K27" t="s">
        <v>69</v>
      </c>
      <c r="L27" s="37">
        <v>0</v>
      </c>
      <c r="M27" s="37">
        <v>0</v>
      </c>
      <c r="N27" s="37">
        <v>8.3600000000000005E-4</v>
      </c>
      <c r="O27" s="37">
        <v>8.3600000000000005E-4</v>
      </c>
      <c r="P27" s="37">
        <v>2.51E-5</v>
      </c>
      <c r="Q27" s="37">
        <v>4.18E-5</v>
      </c>
    </row>
    <row r="28" spans="2:17" x14ac:dyDescent="0.25">
      <c r="B28" t="s">
        <v>69</v>
      </c>
      <c r="C28" s="37">
        <v>0</v>
      </c>
      <c r="D28" s="37">
        <v>0</v>
      </c>
      <c r="E28" s="37">
        <v>7.3200000000000001E-4</v>
      </c>
      <c r="F28" s="37">
        <v>7.3200000000000001E-4</v>
      </c>
      <c r="G28" s="37">
        <v>2.1999999999999999E-5</v>
      </c>
      <c r="H28" s="37">
        <v>3.6600000000000002E-5</v>
      </c>
      <c r="K28" t="s">
        <v>68</v>
      </c>
      <c r="L28" s="37">
        <v>0</v>
      </c>
      <c r="M28" s="37">
        <v>1.0800000000000001E-2</v>
      </c>
      <c r="N28" s="37">
        <v>1.29E-2</v>
      </c>
      <c r="O28" s="37">
        <v>2.3699999999999999E-2</v>
      </c>
      <c r="P28" s="37">
        <v>1.42E-3</v>
      </c>
      <c r="Q28" s="37">
        <v>1.1800000000000001E-3</v>
      </c>
    </row>
    <row r="29" spans="2:17" x14ac:dyDescent="0.25">
      <c r="B29" t="s">
        <v>68</v>
      </c>
      <c r="C29" s="37">
        <v>0</v>
      </c>
      <c r="D29" s="37">
        <v>8.1899999999999994E-3</v>
      </c>
      <c r="E29" s="37">
        <v>8.0599999999999995E-3</v>
      </c>
      <c r="F29" s="37">
        <v>1.6299999999999999E-2</v>
      </c>
      <c r="G29" s="37">
        <v>9.7499999999999996E-4</v>
      </c>
      <c r="H29" s="37">
        <v>8.1300000000000003E-4</v>
      </c>
      <c r="K29" t="s">
        <v>67</v>
      </c>
      <c r="L29" s="37">
        <v>0</v>
      </c>
      <c r="M29" s="37">
        <v>0</v>
      </c>
      <c r="N29" s="37">
        <v>2.8600000000000001E-3</v>
      </c>
      <c r="O29" s="37">
        <v>2.8600000000000001E-3</v>
      </c>
      <c r="P29" s="37">
        <v>0</v>
      </c>
      <c r="Q29" s="37">
        <v>1.43E-5</v>
      </c>
    </row>
    <row r="30" spans="2:17" x14ac:dyDescent="0.25">
      <c r="B30" t="s">
        <v>67</v>
      </c>
      <c r="C30" s="37">
        <v>0</v>
      </c>
      <c r="D30" s="37">
        <v>0</v>
      </c>
      <c r="E30" s="37">
        <v>2.3400000000000001E-3</v>
      </c>
      <c r="F30" s="37">
        <v>2.3400000000000001E-3</v>
      </c>
      <c r="G30" s="37">
        <v>0</v>
      </c>
      <c r="H30" s="37">
        <v>1.17E-5</v>
      </c>
      <c r="K30" t="s">
        <v>66</v>
      </c>
      <c r="L30" s="37">
        <v>0</v>
      </c>
      <c r="M30" s="37">
        <v>4.7399999999999997E-4</v>
      </c>
      <c r="N30" s="37">
        <v>1.72E-3</v>
      </c>
      <c r="O30" s="37">
        <v>2.2000000000000001E-3</v>
      </c>
      <c r="P30" s="37">
        <v>0</v>
      </c>
      <c r="Q30" s="37">
        <v>0</v>
      </c>
    </row>
    <row r="31" spans="2:17" x14ac:dyDescent="0.25">
      <c r="B31" t="s">
        <v>66</v>
      </c>
      <c r="C31" s="37">
        <v>0</v>
      </c>
      <c r="D31" s="37">
        <v>3.6600000000000001E-4</v>
      </c>
      <c r="E31" s="37">
        <v>1.41E-3</v>
      </c>
      <c r="F31" s="37">
        <v>1.7700000000000001E-3</v>
      </c>
      <c r="G31" s="37">
        <v>0</v>
      </c>
      <c r="H31" s="37">
        <v>0</v>
      </c>
    </row>
    <row r="32" spans="2:17" x14ac:dyDescent="0.25">
      <c r="K32" t="s">
        <v>65</v>
      </c>
      <c r="L32" t="s">
        <v>64</v>
      </c>
      <c r="P32" s="37">
        <v>5.5399999999999998E-3</v>
      </c>
    </row>
    <row r="33" spans="2:17" x14ac:dyDescent="0.25">
      <c r="B33" t="s">
        <v>65</v>
      </c>
      <c r="C33" t="s">
        <v>64</v>
      </c>
      <c r="G33" s="37">
        <v>4.3600000000000002E-3</v>
      </c>
      <c r="K33" t="s">
        <v>63</v>
      </c>
      <c r="L33" t="s">
        <v>62</v>
      </c>
      <c r="Q33" s="37">
        <v>3.8300000000000001E-3</v>
      </c>
    </row>
    <row r="34" spans="2:17" x14ac:dyDescent="0.25">
      <c r="B34" t="s">
        <v>63</v>
      </c>
      <c r="C34" t="s">
        <v>62</v>
      </c>
      <c r="H34" s="37">
        <v>2.98E-3</v>
      </c>
    </row>
  </sheetData>
  <mergeCells count="2">
    <mergeCell ref="B3:F3"/>
    <mergeCell ref="K3:O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4"/>
  <sheetViews>
    <sheetView topLeftCell="A7" workbookViewId="0">
      <selection activeCell="I10" sqref="I10"/>
    </sheetView>
  </sheetViews>
  <sheetFormatPr defaultRowHeight="15" x14ac:dyDescent="0.25"/>
  <cols>
    <col min="2" max="2" width="23.42578125" bestFit="1" customWidth="1"/>
    <col min="4" max="4" width="10.42578125" bestFit="1" customWidth="1"/>
    <col min="5" max="5" width="9.42578125" bestFit="1" customWidth="1"/>
    <col min="6" max="6" width="8.28515625" bestFit="1" customWidth="1"/>
    <col min="7" max="7" width="9.42578125" bestFit="1" customWidth="1"/>
    <col min="8" max="8" width="8.5703125" bestFit="1" customWidth="1"/>
    <col min="11" max="11" width="23.42578125" bestFit="1" customWidth="1"/>
    <col min="12" max="12" width="14.5703125" bestFit="1" customWidth="1"/>
    <col min="13" max="13" width="10.42578125" bestFit="1" customWidth="1"/>
    <col min="14" max="14" width="9.42578125" bestFit="1" customWidth="1"/>
    <col min="15" max="15" width="10.42578125" bestFit="1" customWidth="1"/>
    <col min="19" max="19" width="14.7109375" bestFit="1" customWidth="1"/>
    <col min="20" max="20" width="12.5703125" customWidth="1"/>
    <col min="21" max="21" width="11.7109375" customWidth="1"/>
  </cols>
  <sheetData>
    <row r="3" spans="2:21" x14ac:dyDescent="0.25">
      <c r="B3" s="73" t="s">
        <v>98</v>
      </c>
      <c r="C3" s="73"/>
      <c r="D3" s="73"/>
      <c r="E3" s="73"/>
      <c r="F3" s="73"/>
      <c r="K3" s="73" t="s">
        <v>99</v>
      </c>
      <c r="L3" s="73"/>
      <c r="M3" s="73"/>
      <c r="N3" s="73"/>
      <c r="O3" s="73"/>
    </row>
    <row r="5" spans="2:21" x14ac:dyDescent="0.25">
      <c r="B5" t="s">
        <v>96</v>
      </c>
      <c r="C5" t="s">
        <v>95</v>
      </c>
      <c r="D5" t="s">
        <v>94</v>
      </c>
      <c r="E5" t="s">
        <v>93</v>
      </c>
      <c r="F5" t="s">
        <v>92</v>
      </c>
      <c r="G5" t="s">
        <v>91</v>
      </c>
      <c r="H5" t="s">
        <v>90</v>
      </c>
      <c r="K5" t="s">
        <v>96</v>
      </c>
      <c r="L5" t="s">
        <v>95</v>
      </c>
      <c r="M5" t="s">
        <v>94</v>
      </c>
      <c r="N5" t="s">
        <v>93</v>
      </c>
      <c r="O5" t="s">
        <v>92</v>
      </c>
      <c r="P5" t="s">
        <v>91</v>
      </c>
      <c r="Q5" t="s">
        <v>90</v>
      </c>
    </row>
    <row r="7" spans="2:21" x14ac:dyDescent="0.25">
      <c r="B7" t="s">
        <v>89</v>
      </c>
      <c r="C7" s="37">
        <v>0</v>
      </c>
      <c r="D7" s="37">
        <v>0</v>
      </c>
      <c r="E7" s="37">
        <v>1.4599999999999999E-3</v>
      </c>
      <c r="F7" s="37">
        <v>1.4599999999999999E-3</v>
      </c>
      <c r="G7" s="37">
        <v>8.7499999999999999E-5</v>
      </c>
      <c r="H7" s="37">
        <v>7.2899999999999997E-6</v>
      </c>
      <c r="K7" t="s">
        <v>89</v>
      </c>
      <c r="L7" s="37">
        <v>0</v>
      </c>
      <c r="M7" s="37">
        <v>0</v>
      </c>
      <c r="N7" s="37">
        <v>1.8400000000000001E-3</v>
      </c>
      <c r="O7" s="37">
        <v>1.8400000000000001E-3</v>
      </c>
      <c r="P7" s="37">
        <v>1.11E-4</v>
      </c>
      <c r="Q7" s="37">
        <v>9.2099999999999999E-6</v>
      </c>
      <c r="S7" s="49" t="s">
        <v>111</v>
      </c>
      <c r="T7" s="64" t="s">
        <v>110</v>
      </c>
      <c r="U7" s="64"/>
    </row>
    <row r="8" spans="2:21" x14ac:dyDescent="0.25">
      <c r="B8" t="s">
        <v>88</v>
      </c>
      <c r="C8" s="37">
        <v>0</v>
      </c>
      <c r="D8" s="37">
        <v>1.0900000000000001E-5</v>
      </c>
      <c r="E8" s="37">
        <v>1.1800000000000001E-3</v>
      </c>
      <c r="F8" s="37">
        <v>1.1900000000000001E-3</v>
      </c>
      <c r="G8" s="37">
        <v>7.1299999999999998E-5</v>
      </c>
      <c r="H8" s="37">
        <v>5.9399999999999999E-6</v>
      </c>
      <c r="K8" t="s">
        <v>88</v>
      </c>
      <c r="L8" s="37">
        <v>0</v>
      </c>
      <c r="M8" s="37">
        <v>1.29E-5</v>
      </c>
      <c r="N8" s="37">
        <v>1.42E-3</v>
      </c>
      <c r="O8" s="37">
        <v>1.4300000000000001E-3</v>
      </c>
      <c r="P8" s="37">
        <v>8.5699999999999996E-5</v>
      </c>
      <c r="Q8" s="37">
        <v>7.1400000000000002E-6</v>
      </c>
      <c r="S8" s="49"/>
      <c r="T8" s="1" t="s">
        <v>109</v>
      </c>
      <c r="U8" s="1" t="s">
        <v>101</v>
      </c>
    </row>
    <row r="9" spans="2:21" x14ac:dyDescent="0.25">
      <c r="B9" t="s">
        <v>87</v>
      </c>
      <c r="C9" s="37">
        <v>0</v>
      </c>
      <c r="D9" s="37">
        <v>0</v>
      </c>
      <c r="E9" s="37">
        <v>3.8900000000000002E-4</v>
      </c>
      <c r="F9" s="37">
        <v>3.8900000000000002E-4</v>
      </c>
      <c r="G9" s="37">
        <v>5.8300000000000001E-5</v>
      </c>
      <c r="H9" s="37">
        <v>1.9400000000000001E-5</v>
      </c>
      <c r="K9" t="s">
        <v>87</v>
      </c>
      <c r="L9" s="37">
        <v>0</v>
      </c>
      <c r="M9" s="37">
        <v>0</v>
      </c>
      <c r="N9" s="37">
        <v>4.7899999999999999E-4</v>
      </c>
      <c r="O9" s="37">
        <v>4.7899999999999999E-4</v>
      </c>
      <c r="P9" s="37">
        <v>7.1899999999999999E-5</v>
      </c>
      <c r="Q9" s="37">
        <v>2.4000000000000001E-5</v>
      </c>
      <c r="S9" s="1" t="s">
        <v>100</v>
      </c>
      <c r="T9" s="36">
        <v>7.6800000000000002E-4</v>
      </c>
      <c r="U9" s="36">
        <v>8.4199999999999998E-4</v>
      </c>
    </row>
    <row r="10" spans="2:21" x14ac:dyDescent="0.25">
      <c r="B10" t="s">
        <v>86</v>
      </c>
      <c r="C10" s="37">
        <v>0</v>
      </c>
      <c r="D10" s="37">
        <v>0</v>
      </c>
      <c r="E10" s="37">
        <v>1.0399999999999999E-3</v>
      </c>
      <c r="F10" s="37">
        <v>1.0399999999999999E-3</v>
      </c>
      <c r="G10" s="37">
        <v>0</v>
      </c>
      <c r="H10" s="37">
        <v>0</v>
      </c>
      <c r="K10" t="s">
        <v>86</v>
      </c>
      <c r="L10" s="37">
        <v>0</v>
      </c>
      <c r="M10" s="37">
        <v>0</v>
      </c>
      <c r="N10" s="37">
        <v>1.25E-3</v>
      </c>
      <c r="O10" s="37">
        <v>1.25E-3</v>
      </c>
      <c r="P10" s="37">
        <v>0</v>
      </c>
      <c r="Q10" s="37">
        <v>0</v>
      </c>
      <c r="S10" s="1" t="s">
        <v>112</v>
      </c>
      <c r="T10" s="36">
        <v>3.1199999999999999E-4</v>
      </c>
      <c r="U10" s="36">
        <v>4.08E-4</v>
      </c>
    </row>
    <row r="11" spans="2:21" x14ac:dyDescent="0.25">
      <c r="B11" t="s">
        <v>85</v>
      </c>
      <c r="C11" s="37">
        <v>0</v>
      </c>
      <c r="D11" s="37">
        <v>2.61E-4</v>
      </c>
      <c r="E11" s="37">
        <v>9.1600000000000004E-4</v>
      </c>
      <c r="F11" s="37">
        <v>1.1800000000000001E-3</v>
      </c>
      <c r="G11" s="37">
        <v>0</v>
      </c>
      <c r="H11" s="37">
        <v>1.4100000000000001E-4</v>
      </c>
      <c r="K11" t="s">
        <v>85</v>
      </c>
      <c r="L11" s="37">
        <v>0</v>
      </c>
      <c r="M11" s="37">
        <v>2.7599999999999999E-4</v>
      </c>
      <c r="N11" s="37">
        <v>1.14E-3</v>
      </c>
      <c r="O11" s="37">
        <v>1.41E-3</v>
      </c>
      <c r="P11" s="37">
        <v>0</v>
      </c>
      <c r="Q11" s="37">
        <v>1.7000000000000001E-4</v>
      </c>
      <c r="S11" s="1" t="s">
        <v>102</v>
      </c>
      <c r="T11" s="36">
        <v>1.37E-4</v>
      </c>
      <c r="U11" s="36">
        <v>1.7699999999999999E-4</v>
      </c>
    </row>
    <row r="12" spans="2:21" x14ac:dyDescent="0.25">
      <c r="B12" t="s">
        <v>84</v>
      </c>
      <c r="C12" s="37">
        <v>0</v>
      </c>
      <c r="D12" s="37">
        <v>0</v>
      </c>
      <c r="E12" s="37">
        <v>7.3099999999999999E-4</v>
      </c>
      <c r="F12" s="37">
        <v>7.3099999999999999E-4</v>
      </c>
      <c r="G12" s="37">
        <v>0</v>
      </c>
      <c r="H12" s="37">
        <v>3.6600000000000001E-6</v>
      </c>
      <c r="K12" t="s">
        <v>84</v>
      </c>
      <c r="L12" s="37">
        <v>0</v>
      </c>
      <c r="M12" s="37">
        <v>0</v>
      </c>
      <c r="N12" s="37">
        <v>9.1799999999999998E-4</v>
      </c>
      <c r="O12" s="37">
        <v>9.1799999999999998E-4</v>
      </c>
      <c r="P12" s="37">
        <v>0</v>
      </c>
      <c r="Q12" s="37">
        <v>4.5900000000000001E-6</v>
      </c>
      <c r="S12" s="1" t="s">
        <v>14</v>
      </c>
      <c r="T12" s="36">
        <v>1.4100000000000001E-4</v>
      </c>
      <c r="U12" s="36">
        <v>1.7000000000000001E-4</v>
      </c>
    </row>
    <row r="13" spans="2:21" x14ac:dyDescent="0.25">
      <c r="B13" t="s">
        <v>83</v>
      </c>
      <c r="C13" s="37">
        <v>0</v>
      </c>
      <c r="D13" s="37">
        <v>3.57E-5</v>
      </c>
      <c r="E13" s="37">
        <v>6.0599999999999998E-4</v>
      </c>
      <c r="F13" s="37">
        <v>6.4099999999999997E-4</v>
      </c>
      <c r="G13" s="37">
        <v>0</v>
      </c>
      <c r="H13" s="37">
        <v>7.7000000000000001E-5</v>
      </c>
      <c r="K13" t="s">
        <v>83</v>
      </c>
      <c r="L13" s="37">
        <v>0</v>
      </c>
      <c r="M13" s="37">
        <v>4.0299999999999997E-5</v>
      </c>
      <c r="N13" s="37">
        <v>8.2299999999999995E-4</v>
      </c>
      <c r="O13" s="37">
        <v>8.6300000000000005E-4</v>
      </c>
      <c r="P13" s="37">
        <v>0</v>
      </c>
      <c r="Q13" s="37">
        <v>1.0399999999999999E-4</v>
      </c>
      <c r="S13" s="1" t="s">
        <v>15</v>
      </c>
      <c r="T13" s="36">
        <v>1.18E-4</v>
      </c>
      <c r="U13" s="36">
        <v>1.5100000000000001E-4</v>
      </c>
    </row>
    <row r="14" spans="2:21" x14ac:dyDescent="0.25">
      <c r="B14" t="s">
        <v>82</v>
      </c>
      <c r="C14" s="37">
        <v>0</v>
      </c>
      <c r="D14" s="37">
        <v>0</v>
      </c>
      <c r="E14" s="37">
        <v>6.87E-4</v>
      </c>
      <c r="F14" s="37">
        <v>6.87E-4</v>
      </c>
      <c r="G14" s="37">
        <v>0</v>
      </c>
      <c r="H14" s="37">
        <v>3.4400000000000001E-6</v>
      </c>
      <c r="K14" t="s">
        <v>82</v>
      </c>
      <c r="L14" s="37">
        <v>0</v>
      </c>
      <c r="M14" s="37">
        <v>0</v>
      </c>
      <c r="N14" s="37">
        <v>8.34E-4</v>
      </c>
      <c r="O14" s="37">
        <v>8.34E-4</v>
      </c>
      <c r="P14" s="37">
        <v>0</v>
      </c>
      <c r="Q14" s="37">
        <v>4.1699999999999999E-6</v>
      </c>
      <c r="S14" s="1" t="s">
        <v>21</v>
      </c>
      <c r="T14" s="36">
        <v>7.7000000000000001E-5</v>
      </c>
      <c r="U14" s="36">
        <v>1.0399999999999999E-4</v>
      </c>
    </row>
    <row r="15" spans="2:21" x14ac:dyDescent="0.25">
      <c r="B15" t="s">
        <v>81</v>
      </c>
      <c r="C15" s="37">
        <v>0</v>
      </c>
      <c r="D15" s="37">
        <v>1.22E-4</v>
      </c>
      <c r="E15" s="37">
        <v>8.5400000000000005E-4</v>
      </c>
      <c r="F15" s="37">
        <v>9.7599999999999998E-4</v>
      </c>
      <c r="G15" s="37">
        <v>0</v>
      </c>
      <c r="H15" s="37">
        <v>0</v>
      </c>
      <c r="K15" t="s">
        <v>81</v>
      </c>
      <c r="L15" s="37">
        <v>0</v>
      </c>
      <c r="M15" s="37">
        <v>1.6000000000000001E-4</v>
      </c>
      <c r="N15" s="37">
        <v>1.06E-3</v>
      </c>
      <c r="O15" s="37">
        <v>1.2199999999999999E-3</v>
      </c>
      <c r="P15" s="37">
        <v>0</v>
      </c>
      <c r="Q15" s="37">
        <v>0</v>
      </c>
      <c r="S15" s="1" t="s">
        <v>103</v>
      </c>
      <c r="T15" s="36">
        <v>3.9400000000000002E-5</v>
      </c>
      <c r="U15" s="36">
        <v>5.5000000000000002E-5</v>
      </c>
    </row>
    <row r="16" spans="2:21" x14ac:dyDescent="0.25">
      <c r="B16" t="s">
        <v>80</v>
      </c>
      <c r="C16" s="37">
        <v>0</v>
      </c>
      <c r="D16" s="37">
        <v>8.9599999999999999E-4</v>
      </c>
      <c r="E16" s="37">
        <v>1.42E-3</v>
      </c>
      <c r="F16" s="37">
        <v>2.32E-3</v>
      </c>
      <c r="G16" s="37">
        <v>1.3899999999999999E-4</v>
      </c>
      <c r="H16" s="37">
        <v>1.1600000000000001E-5</v>
      </c>
      <c r="K16" t="s">
        <v>80</v>
      </c>
      <c r="L16" s="37">
        <v>0</v>
      </c>
      <c r="M16" s="37">
        <v>9.7400000000000004E-4</v>
      </c>
      <c r="N16" s="37">
        <v>1.74E-3</v>
      </c>
      <c r="O16" s="37">
        <v>2.7100000000000002E-3</v>
      </c>
      <c r="P16" s="37">
        <v>1.63E-4</v>
      </c>
      <c r="Q16" s="37">
        <v>1.36E-5</v>
      </c>
      <c r="S16" s="1" t="s">
        <v>105</v>
      </c>
      <c r="T16" s="36">
        <v>4.0599999999999998E-5</v>
      </c>
      <c r="U16" s="36">
        <v>4.57E-5</v>
      </c>
    </row>
    <row r="17" spans="2:21" x14ac:dyDescent="0.25">
      <c r="B17" t="s">
        <v>79</v>
      </c>
      <c r="C17" s="37">
        <v>0</v>
      </c>
      <c r="D17" s="37">
        <v>7.1699999999999997E-4</v>
      </c>
      <c r="E17" s="37">
        <v>1.64E-3</v>
      </c>
      <c r="F17" s="37">
        <v>2.3600000000000001E-3</v>
      </c>
      <c r="G17" s="37">
        <v>1.4100000000000001E-4</v>
      </c>
      <c r="H17" s="37">
        <v>1.18E-4</v>
      </c>
      <c r="K17" t="s">
        <v>79</v>
      </c>
      <c r="L17" s="37">
        <v>0</v>
      </c>
      <c r="M17" s="37">
        <v>9.7799999999999992E-4</v>
      </c>
      <c r="N17" s="37">
        <v>2.0400000000000001E-3</v>
      </c>
      <c r="O17" s="37">
        <v>3.0100000000000001E-3</v>
      </c>
      <c r="P17" s="37">
        <v>1.8100000000000001E-4</v>
      </c>
      <c r="Q17" s="37">
        <v>1.5100000000000001E-4</v>
      </c>
      <c r="S17" s="1" t="s">
        <v>16</v>
      </c>
      <c r="T17" s="36">
        <v>1.1600000000000001E-5</v>
      </c>
      <c r="U17" s="36">
        <v>1.36E-5</v>
      </c>
    </row>
    <row r="18" spans="2:21" x14ac:dyDescent="0.25">
      <c r="B18" t="s">
        <v>78</v>
      </c>
      <c r="C18" s="37">
        <v>0</v>
      </c>
      <c r="D18" s="37">
        <v>2.12E-4</v>
      </c>
      <c r="E18" s="37">
        <v>9.3199999999999999E-4</v>
      </c>
      <c r="F18" s="37">
        <v>1.14E-3</v>
      </c>
      <c r="G18" s="37">
        <v>1.37E-4</v>
      </c>
      <c r="H18" s="37">
        <v>1.37E-4</v>
      </c>
      <c r="K18" t="s">
        <v>78</v>
      </c>
      <c r="L18" s="37">
        <v>0</v>
      </c>
      <c r="M18" s="37">
        <v>2.6499999999999999E-4</v>
      </c>
      <c r="N18" s="37">
        <v>1.2099999999999999E-3</v>
      </c>
      <c r="O18" s="37">
        <v>1.47E-3</v>
      </c>
      <c r="P18" s="37">
        <v>1.7699999999999999E-4</v>
      </c>
      <c r="Q18" s="37">
        <v>1.7699999999999999E-4</v>
      </c>
      <c r="S18" s="1" t="s">
        <v>106</v>
      </c>
      <c r="T18" s="36">
        <v>7.2899999999999997E-6</v>
      </c>
      <c r="U18" s="36">
        <v>9.2099999999999999E-6</v>
      </c>
    </row>
    <row r="19" spans="2:21" x14ac:dyDescent="0.25">
      <c r="B19" t="s">
        <v>77</v>
      </c>
      <c r="C19" s="37">
        <v>0</v>
      </c>
      <c r="D19" s="37">
        <v>3.2799999999999998E-5</v>
      </c>
      <c r="E19" s="37">
        <v>8.4800000000000001E-4</v>
      </c>
      <c r="F19" s="37">
        <v>8.8000000000000003E-4</v>
      </c>
      <c r="G19" s="37">
        <v>0</v>
      </c>
      <c r="H19" s="37">
        <v>4.4000000000000002E-6</v>
      </c>
      <c r="K19" t="s">
        <v>77</v>
      </c>
      <c r="L19" s="37">
        <v>0</v>
      </c>
      <c r="M19" s="37">
        <v>5.3999999999999998E-5</v>
      </c>
      <c r="N19" s="37">
        <v>1.0300000000000001E-3</v>
      </c>
      <c r="O19" s="37">
        <v>1.09E-3</v>
      </c>
      <c r="P19" s="37">
        <v>0</v>
      </c>
      <c r="Q19" s="37">
        <v>5.4399999999999996E-6</v>
      </c>
      <c r="S19" s="1" t="s">
        <v>17</v>
      </c>
      <c r="T19" s="36">
        <v>6.2099999999999998E-6</v>
      </c>
      <c r="U19" s="36">
        <v>7.8299999999999996E-6</v>
      </c>
    </row>
    <row r="20" spans="2:21" x14ac:dyDescent="0.25">
      <c r="B20" t="s">
        <v>76</v>
      </c>
      <c r="C20" s="37">
        <v>0</v>
      </c>
      <c r="D20" s="37">
        <v>0</v>
      </c>
      <c r="E20" s="37">
        <v>7.8399999999999997E-4</v>
      </c>
      <c r="F20" s="37">
        <v>7.8399999999999997E-4</v>
      </c>
      <c r="G20" s="37">
        <v>1.9599999999999999E-4</v>
      </c>
      <c r="H20" s="37">
        <v>1.5699999999999999E-4</v>
      </c>
      <c r="K20" t="s">
        <v>76</v>
      </c>
      <c r="L20" s="37">
        <v>0</v>
      </c>
      <c r="M20" s="37">
        <v>0</v>
      </c>
      <c r="N20" s="37">
        <v>9.8700000000000003E-4</v>
      </c>
      <c r="O20" s="37">
        <v>9.8700000000000003E-4</v>
      </c>
      <c r="P20" s="37">
        <v>2.4699999999999999E-4</v>
      </c>
      <c r="Q20" s="37">
        <v>1.9699999999999999E-4</v>
      </c>
      <c r="S20" s="1" t="s">
        <v>20</v>
      </c>
      <c r="T20" s="36">
        <v>5.9399999999999999E-6</v>
      </c>
      <c r="U20" s="36">
        <v>7.1400000000000002E-6</v>
      </c>
    </row>
    <row r="21" spans="2:21" x14ac:dyDescent="0.25">
      <c r="B21" t="s">
        <v>75</v>
      </c>
      <c r="C21" s="37">
        <v>0</v>
      </c>
      <c r="D21" s="37">
        <v>0</v>
      </c>
      <c r="E21" s="37">
        <v>1.0300000000000001E-3</v>
      </c>
      <c r="F21" s="37">
        <v>1.0300000000000001E-3</v>
      </c>
      <c r="G21" s="37">
        <v>0</v>
      </c>
      <c r="H21" s="37">
        <v>5.1499999999999998E-6</v>
      </c>
      <c r="K21" t="s">
        <v>75</v>
      </c>
      <c r="L21" s="37">
        <v>0</v>
      </c>
      <c r="M21" s="37">
        <v>0</v>
      </c>
      <c r="N21" s="37">
        <v>1.2899999999999999E-3</v>
      </c>
      <c r="O21" s="37">
        <v>1.2899999999999999E-3</v>
      </c>
      <c r="P21" s="37">
        <v>0</v>
      </c>
      <c r="Q21" s="37">
        <v>6.4500000000000001E-6</v>
      </c>
      <c r="S21" s="1" t="s">
        <v>10</v>
      </c>
      <c r="T21" s="36">
        <v>5.1499999999999998E-6</v>
      </c>
      <c r="U21" s="36">
        <v>6.5100000000000004E-6</v>
      </c>
    </row>
    <row r="22" spans="2:21" x14ac:dyDescent="0.25">
      <c r="B22" t="s">
        <v>74</v>
      </c>
      <c r="C22" s="37">
        <v>0</v>
      </c>
      <c r="D22" s="37">
        <v>4.3E-3</v>
      </c>
      <c r="E22" s="37">
        <v>2.0999999999999999E-3</v>
      </c>
      <c r="F22" s="37">
        <v>6.4000000000000003E-3</v>
      </c>
      <c r="G22" s="37">
        <v>7.6800000000000002E-4</v>
      </c>
      <c r="H22" s="37">
        <v>7.6800000000000002E-4</v>
      </c>
      <c r="K22" t="s">
        <v>74</v>
      </c>
      <c r="L22" s="37">
        <v>0</v>
      </c>
      <c r="M22" s="37">
        <v>4.47E-3</v>
      </c>
      <c r="N22" s="37">
        <v>2.5400000000000002E-3</v>
      </c>
      <c r="O22" s="37">
        <v>7.0099999999999997E-3</v>
      </c>
      <c r="P22" s="37">
        <v>8.4199999999999998E-4</v>
      </c>
      <c r="Q22" s="37">
        <v>8.4199999999999998E-4</v>
      </c>
      <c r="S22" s="1" t="s">
        <v>108</v>
      </c>
      <c r="T22" s="36">
        <v>5.1499999999999998E-6</v>
      </c>
      <c r="U22" s="36">
        <v>6.4500000000000001E-6</v>
      </c>
    </row>
    <row r="23" spans="2:21" x14ac:dyDescent="0.25">
      <c r="B23" t="s">
        <v>73</v>
      </c>
      <c r="C23" s="37">
        <v>0</v>
      </c>
      <c r="D23" s="37">
        <v>2.64E-2</v>
      </c>
      <c r="E23" s="37">
        <v>4.7800000000000004E-3</v>
      </c>
      <c r="F23" s="37">
        <v>3.1199999999999999E-2</v>
      </c>
      <c r="G23" s="37">
        <v>9.3499999999999996E-4</v>
      </c>
      <c r="H23" s="37">
        <v>3.1199999999999999E-4</v>
      </c>
      <c r="K23" t="s">
        <v>73</v>
      </c>
      <c r="L23" s="37">
        <v>0</v>
      </c>
      <c r="M23" s="37">
        <v>3.5200000000000002E-2</v>
      </c>
      <c r="N23" s="37">
        <v>5.5799999999999999E-3</v>
      </c>
      <c r="O23" s="37">
        <v>4.0800000000000003E-2</v>
      </c>
      <c r="P23" s="37">
        <v>1.2199999999999999E-3</v>
      </c>
      <c r="Q23" s="37">
        <v>4.08E-4</v>
      </c>
      <c r="S23" s="1" t="s">
        <v>11</v>
      </c>
      <c r="T23" s="36">
        <v>4.4000000000000002E-6</v>
      </c>
      <c r="U23" s="36">
        <v>5.4399999999999996E-6</v>
      </c>
    </row>
    <row r="24" spans="2:21" x14ac:dyDescent="0.25">
      <c r="B24" t="s">
        <v>72</v>
      </c>
      <c r="C24" s="37">
        <v>0</v>
      </c>
      <c r="D24" s="37">
        <v>0</v>
      </c>
      <c r="E24" s="37">
        <v>5.1500000000000005E-4</v>
      </c>
      <c r="F24" s="37">
        <v>5.1500000000000005E-4</v>
      </c>
      <c r="G24" s="37">
        <v>0</v>
      </c>
      <c r="H24" s="37">
        <v>5.1499999999999998E-6</v>
      </c>
      <c r="K24" t="s">
        <v>72</v>
      </c>
      <c r="L24" s="37">
        <v>0</v>
      </c>
      <c r="M24" s="37">
        <v>0</v>
      </c>
      <c r="N24" s="37">
        <v>6.5099999999999999E-4</v>
      </c>
      <c r="O24" s="37">
        <v>6.5099999999999999E-4</v>
      </c>
      <c r="P24" s="37">
        <v>0</v>
      </c>
      <c r="Q24" s="37">
        <v>6.5100000000000004E-6</v>
      </c>
      <c r="S24" s="1" t="s">
        <v>104</v>
      </c>
      <c r="T24" s="36">
        <v>3.6600000000000001E-6</v>
      </c>
      <c r="U24" s="36">
        <v>4.5900000000000001E-6</v>
      </c>
    </row>
    <row r="25" spans="2:21" x14ac:dyDescent="0.25">
      <c r="B25" t="s">
        <v>71</v>
      </c>
      <c r="C25" s="37">
        <v>0</v>
      </c>
      <c r="D25" s="37">
        <v>3.3799999999999998E-4</v>
      </c>
      <c r="E25" s="37">
        <v>9.0399999999999996E-4</v>
      </c>
      <c r="F25" s="37">
        <v>1.24E-3</v>
      </c>
      <c r="G25" s="37">
        <v>7.4499999999999995E-5</v>
      </c>
      <c r="H25" s="37">
        <v>6.2099999999999998E-6</v>
      </c>
      <c r="K25" t="s">
        <v>71</v>
      </c>
      <c r="L25" s="37">
        <v>0</v>
      </c>
      <c r="M25" s="37">
        <v>4.1199999999999999E-4</v>
      </c>
      <c r="N25" s="37">
        <v>1.15E-3</v>
      </c>
      <c r="O25" s="37">
        <v>1.57E-3</v>
      </c>
      <c r="P25" s="37">
        <v>9.3999999999999994E-5</v>
      </c>
      <c r="Q25" s="37">
        <v>7.8299999999999996E-6</v>
      </c>
      <c r="S25" s="1" t="s">
        <v>107</v>
      </c>
      <c r="T25" s="36">
        <v>2.9399999999999998E-6</v>
      </c>
      <c r="U25" s="36">
        <v>3.63E-6</v>
      </c>
    </row>
    <row r="26" spans="2:21" x14ac:dyDescent="0.25">
      <c r="B26" t="s">
        <v>97</v>
      </c>
      <c r="C26" s="37">
        <v>0</v>
      </c>
      <c r="D26" s="37">
        <v>0</v>
      </c>
      <c r="E26" s="37">
        <v>4.5600000000000003E-4</v>
      </c>
      <c r="F26" s="37">
        <v>4.5600000000000003E-4</v>
      </c>
      <c r="G26" s="37">
        <v>0</v>
      </c>
      <c r="H26" s="37">
        <v>0</v>
      </c>
      <c r="K26" t="s">
        <v>70</v>
      </c>
      <c r="L26" s="37">
        <v>0</v>
      </c>
      <c r="M26" s="37">
        <v>0</v>
      </c>
      <c r="N26" s="37">
        <v>7.2599999999999997E-4</v>
      </c>
      <c r="O26" s="37">
        <v>7.2599999999999997E-4</v>
      </c>
      <c r="P26" s="37">
        <v>0</v>
      </c>
      <c r="Q26" s="37">
        <v>3.63E-6</v>
      </c>
      <c r="S26" s="1" t="s">
        <v>18</v>
      </c>
      <c r="T26" s="36">
        <v>0</v>
      </c>
      <c r="U26" s="36">
        <v>0</v>
      </c>
    </row>
    <row r="27" spans="2:21" x14ac:dyDescent="0.25">
      <c r="B27" t="s">
        <v>70</v>
      </c>
      <c r="C27" s="37">
        <v>0</v>
      </c>
      <c r="D27" s="37">
        <v>0</v>
      </c>
      <c r="E27" s="37">
        <v>5.8900000000000001E-4</v>
      </c>
      <c r="F27" s="37">
        <v>5.8900000000000001E-4</v>
      </c>
      <c r="G27" s="37">
        <v>0</v>
      </c>
      <c r="H27" s="37">
        <v>2.9399999999999998E-6</v>
      </c>
      <c r="K27" t="s">
        <v>69</v>
      </c>
      <c r="L27" s="37">
        <v>0</v>
      </c>
      <c r="M27" s="37">
        <v>0</v>
      </c>
      <c r="N27" s="37">
        <v>9.1500000000000001E-4</v>
      </c>
      <c r="O27" s="37">
        <v>9.1500000000000001E-4</v>
      </c>
      <c r="P27" s="37">
        <v>2.7399999999999999E-5</v>
      </c>
      <c r="Q27" s="37">
        <v>4.57E-5</v>
      </c>
      <c r="U27" s="37">
        <f>SUM(U9:U26)</f>
        <v>2.0171E-3</v>
      </c>
    </row>
    <row r="28" spans="2:21" x14ac:dyDescent="0.25">
      <c r="B28" t="s">
        <v>69</v>
      </c>
      <c r="C28" s="37">
        <v>0</v>
      </c>
      <c r="D28" s="37">
        <v>0</v>
      </c>
      <c r="E28" s="37">
        <v>8.1300000000000003E-4</v>
      </c>
      <c r="F28" s="37">
        <v>8.1300000000000003E-4</v>
      </c>
      <c r="G28" s="37">
        <v>2.44E-5</v>
      </c>
      <c r="H28" s="37">
        <v>4.0599999999999998E-5</v>
      </c>
      <c r="K28" t="s">
        <v>68</v>
      </c>
      <c r="L28" s="37">
        <v>0</v>
      </c>
      <c r="M28" s="37">
        <v>2.1499999999999999E-4</v>
      </c>
      <c r="N28" s="37">
        <v>8.8599999999999996E-4</v>
      </c>
      <c r="O28" s="37">
        <v>1.1000000000000001E-3</v>
      </c>
      <c r="P28" s="37">
        <v>0</v>
      </c>
      <c r="Q28" s="37">
        <v>5.5000000000000002E-5</v>
      </c>
    </row>
    <row r="29" spans="2:21" x14ac:dyDescent="0.25">
      <c r="B29" t="s">
        <v>68</v>
      </c>
      <c r="C29" s="37">
        <v>0</v>
      </c>
      <c r="D29" s="37">
        <v>1.63E-4</v>
      </c>
      <c r="E29" s="37">
        <v>6.2399999999999999E-4</v>
      </c>
      <c r="F29" s="37">
        <v>7.8799999999999996E-4</v>
      </c>
      <c r="G29" s="37">
        <v>0</v>
      </c>
      <c r="H29" s="37">
        <v>3.9400000000000002E-5</v>
      </c>
      <c r="K29" t="s">
        <v>67</v>
      </c>
      <c r="L29" s="37">
        <v>0</v>
      </c>
      <c r="M29" s="37">
        <v>0</v>
      </c>
      <c r="N29" s="37">
        <v>7.8799999999999996E-4</v>
      </c>
      <c r="O29" s="37">
        <v>7.8799999999999996E-4</v>
      </c>
      <c r="P29" s="37">
        <v>0</v>
      </c>
      <c r="Q29" s="37">
        <v>3.9400000000000004E-6</v>
      </c>
    </row>
    <row r="30" spans="2:21" x14ac:dyDescent="0.25">
      <c r="B30" t="s">
        <v>67</v>
      </c>
      <c r="C30" s="37">
        <v>0</v>
      </c>
      <c r="D30" s="37">
        <v>0</v>
      </c>
      <c r="E30" s="37">
        <v>6.1399999999999996E-4</v>
      </c>
      <c r="F30" s="37">
        <v>6.1399999999999996E-4</v>
      </c>
      <c r="G30" s="37">
        <v>0</v>
      </c>
      <c r="H30" s="37">
        <v>3.0699999999999998E-6</v>
      </c>
      <c r="K30" t="s">
        <v>66</v>
      </c>
      <c r="L30" s="37">
        <v>0</v>
      </c>
      <c r="M30" s="37">
        <v>4.6700000000000002E-4</v>
      </c>
      <c r="N30" s="37">
        <v>1.4599999999999999E-3</v>
      </c>
      <c r="O30" s="37">
        <v>1.9300000000000001E-3</v>
      </c>
      <c r="P30" s="37">
        <v>0</v>
      </c>
      <c r="Q30" s="37">
        <v>0</v>
      </c>
    </row>
    <row r="31" spans="2:21" x14ac:dyDescent="0.25">
      <c r="B31" t="s">
        <v>66</v>
      </c>
      <c r="C31" s="37">
        <v>0</v>
      </c>
      <c r="D31" s="37">
        <v>3.6099999999999999E-4</v>
      </c>
      <c r="E31" s="37">
        <v>1.1999999999999999E-3</v>
      </c>
      <c r="F31" s="37">
        <v>1.57E-3</v>
      </c>
      <c r="G31" s="37">
        <v>0</v>
      </c>
      <c r="H31" s="37">
        <v>0</v>
      </c>
    </row>
    <row r="32" spans="2:21" x14ac:dyDescent="0.25">
      <c r="K32" t="s">
        <v>65</v>
      </c>
      <c r="L32" t="s">
        <v>64</v>
      </c>
      <c r="P32" s="37">
        <v>3.2200000000000002E-3</v>
      </c>
    </row>
    <row r="33" spans="2:17" x14ac:dyDescent="0.25">
      <c r="B33" t="s">
        <v>65</v>
      </c>
      <c r="C33" t="s">
        <v>64</v>
      </c>
      <c r="G33" s="37">
        <v>2.63E-3</v>
      </c>
      <c r="K33" t="s">
        <v>63</v>
      </c>
      <c r="L33" t="s">
        <v>62</v>
      </c>
      <c r="Q33" s="37">
        <v>2.2399999999999998E-3</v>
      </c>
    </row>
    <row r="34" spans="2:17" x14ac:dyDescent="0.25">
      <c r="B34" t="s">
        <v>63</v>
      </c>
      <c r="C34" t="s">
        <v>62</v>
      </c>
      <c r="H34" s="37">
        <v>1.8699999999999999E-3</v>
      </c>
    </row>
  </sheetData>
  <mergeCells count="4">
    <mergeCell ref="B3:F3"/>
    <mergeCell ref="K3:O3"/>
    <mergeCell ref="T7:U7"/>
    <mergeCell ref="S7:S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kemurnian radiofarmaka</vt:lpstr>
      <vt:lpstr>ID gr organ</vt:lpstr>
      <vt:lpstr>residence time</vt:lpstr>
      <vt:lpstr>estimasi dosis hewan</vt:lpstr>
      <vt:lpstr>estimasi dosis manusia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2018-07-12T11:37:27Z</dcterms:created>
  <dcterms:modified xsi:type="dcterms:W3CDTF">2018-10-08T08:36:55Z</dcterms:modified>
</cp:coreProperties>
</file>